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calcPr calcId="144525"/>
</workbook>
</file>

<file path=xl/calcChain.xml><?xml version="1.0" encoding="utf-8"?>
<calcChain xmlns="http://schemas.openxmlformats.org/spreadsheetml/2006/main">
  <c r="D22" i="2" l="1"/>
  <c r="B7" i="2"/>
  <c r="B3" i="2"/>
  <c r="F134" i="1"/>
  <c r="K134" i="1"/>
  <c r="O134" i="1"/>
  <c r="P134" i="1" s="1"/>
  <c r="Q134" i="1" s="1"/>
  <c r="F77" i="1"/>
  <c r="K77" i="1"/>
  <c r="O77" i="1"/>
  <c r="P77" i="1" s="1"/>
  <c r="Q77" i="1" s="1"/>
  <c r="O76" i="1"/>
  <c r="K76" i="1"/>
  <c r="F76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4" i="1"/>
  <c r="P76" i="1" l="1"/>
  <c r="Q76" i="1" s="1"/>
  <c r="B6" i="2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4" i="1"/>
  <c r="P4" i="1" s="1"/>
  <c r="J215" i="1"/>
  <c r="C7" i="2" s="1"/>
  <c r="G215" i="1"/>
  <c r="E215" i="1"/>
  <c r="D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F6" i="1"/>
  <c r="F5" i="1"/>
  <c r="F4" i="1"/>
  <c r="F215" i="1" l="1"/>
  <c r="C4" i="2" s="1"/>
  <c r="K215" i="1"/>
  <c r="C6" i="2" s="1"/>
  <c r="C12" i="4"/>
  <c r="B12" i="4"/>
  <c r="B4" i="2" l="1"/>
  <c r="Q33" i="1"/>
  <c r="B11" i="2" l="1"/>
  <c r="B5" i="3"/>
  <c r="B3" i="3"/>
  <c r="B4" i="3"/>
  <c r="A26" i="2"/>
  <c r="Q195" i="1" l="1"/>
  <c r="Q193" i="1"/>
  <c r="Q155" i="1"/>
  <c r="Q142" i="1"/>
  <c r="Q125" i="1"/>
  <c r="Q122" i="1"/>
  <c r="Q121" i="1"/>
  <c r="Q119" i="1"/>
  <c r="Q113" i="1"/>
  <c r="Q65" i="1"/>
  <c r="Q43" i="1"/>
  <c r="Q41" i="1"/>
  <c r="Q35" i="1"/>
  <c r="Q28" i="1"/>
  <c r="Q25" i="1"/>
  <c r="Q212" i="1" l="1"/>
  <c r="Q211" i="1"/>
  <c r="Q209" i="1"/>
  <c r="Q206" i="1"/>
  <c r="Q204" i="1"/>
  <c r="Q202" i="1"/>
  <c r="Q196" i="1"/>
  <c r="Q190" i="1"/>
  <c r="Q189" i="1"/>
  <c r="Q188" i="1"/>
  <c r="Q187" i="1"/>
  <c r="Q185" i="1"/>
  <c r="Q183" i="1"/>
  <c r="Q181" i="1"/>
  <c r="Q180" i="1"/>
  <c r="Q178" i="1"/>
  <c r="Q177" i="1"/>
  <c r="Q176" i="1"/>
  <c r="Q175" i="1"/>
  <c r="Q173" i="1"/>
  <c r="Q172" i="1"/>
  <c r="Q171" i="1"/>
  <c r="Q166" i="1"/>
  <c r="Q164" i="1"/>
  <c r="Q160" i="1"/>
  <c r="Q158" i="1"/>
  <c r="Q153" i="1"/>
  <c r="Q152" i="1"/>
  <c r="Q151" i="1"/>
  <c r="Q149" i="1"/>
  <c r="Q148" i="1"/>
  <c r="Q146" i="1"/>
  <c r="Q143" i="1"/>
  <c r="Q139" i="1"/>
  <c r="Q138" i="1"/>
  <c r="Q137" i="1"/>
  <c r="Q136" i="1"/>
  <c r="Q135" i="1"/>
  <c r="Q133" i="1"/>
  <c r="Q131" i="1"/>
  <c r="Q127" i="1"/>
  <c r="Q123" i="1"/>
  <c r="Q118" i="1"/>
  <c r="Q116" i="1"/>
  <c r="Q117" i="1"/>
  <c r="Q114" i="1"/>
  <c r="Q110" i="1"/>
  <c r="Q105" i="1"/>
  <c r="Q103" i="1"/>
  <c r="Q99" i="1"/>
  <c r="Q98" i="1"/>
  <c r="Q97" i="1"/>
  <c r="Q94" i="1"/>
  <c r="Q95" i="1"/>
  <c r="Q96" i="1"/>
  <c r="Q93" i="1"/>
  <c r="Q82" i="1"/>
  <c r="Q81" i="1"/>
  <c r="Q80" i="1"/>
  <c r="Q78" i="1"/>
  <c r="Q74" i="1"/>
  <c r="Q73" i="1"/>
  <c r="Q64" i="1"/>
  <c r="Q63" i="1"/>
  <c r="Q61" i="1"/>
  <c r="Q56" i="1"/>
  <c r="Q47" i="1"/>
  <c r="Q44" i="1"/>
  <c r="Q40" i="1"/>
  <c r="Q39" i="1"/>
  <c r="Q36" i="1"/>
  <c r="Q24" i="1"/>
  <c r="Q19" i="1"/>
  <c r="Q18" i="1"/>
  <c r="Q14" i="1"/>
  <c r="Q9" i="1"/>
  <c r="Q7" i="1"/>
  <c r="Q6" i="1"/>
  <c r="Q5" i="1"/>
  <c r="Q108" i="1"/>
  <c r="Q109" i="1"/>
  <c r="Q111" i="1"/>
  <c r="Q112" i="1"/>
  <c r="Q115" i="1"/>
  <c r="Q120" i="1"/>
  <c r="Q124" i="1"/>
  <c r="Q126" i="1"/>
  <c r="Q128" i="1"/>
  <c r="Q129" i="1"/>
  <c r="Q130" i="1"/>
  <c r="Q132" i="1"/>
  <c r="Q140" i="1"/>
  <c r="Q141" i="1"/>
  <c r="Q144" i="1"/>
  <c r="Q145" i="1"/>
  <c r="Q147" i="1"/>
  <c r="Q150" i="1"/>
  <c r="Q154" i="1"/>
  <c r="Q156" i="1"/>
  <c r="Q157" i="1"/>
  <c r="Q159" i="1"/>
  <c r="Q161" i="1"/>
  <c r="Q162" i="1"/>
  <c r="Q163" i="1"/>
  <c r="Q165" i="1"/>
  <c r="Q167" i="1"/>
  <c r="Q168" i="1"/>
  <c r="Q169" i="1"/>
  <c r="Q170" i="1"/>
  <c r="Q174" i="1"/>
  <c r="Q179" i="1"/>
  <c r="Q182" i="1"/>
  <c r="Q184" i="1"/>
  <c r="Q186" i="1"/>
  <c r="Q191" i="1"/>
  <c r="Q192" i="1"/>
  <c r="Q194" i="1"/>
  <c r="Q197" i="1"/>
  <c r="Q198" i="1"/>
  <c r="Q199" i="1"/>
  <c r="Q200" i="1"/>
  <c r="Q201" i="1"/>
  <c r="Q203" i="1"/>
  <c r="Q205" i="1"/>
  <c r="Q207" i="1"/>
  <c r="Q208" i="1"/>
  <c r="Q210" i="1"/>
  <c r="Q213" i="1"/>
  <c r="Q107" i="1"/>
  <c r="Q53" i="1"/>
  <c r="Q54" i="1"/>
  <c r="Q55" i="1"/>
  <c r="Q57" i="1"/>
  <c r="Q58" i="1"/>
  <c r="Q59" i="1"/>
  <c r="Q60" i="1"/>
  <c r="Q62" i="1"/>
  <c r="Q66" i="1"/>
  <c r="Q67" i="1"/>
  <c r="Q68" i="1"/>
  <c r="Q69" i="1"/>
  <c r="Q70" i="1"/>
  <c r="Q71" i="1"/>
  <c r="Q72" i="1"/>
  <c r="Q75" i="1"/>
  <c r="Q79" i="1"/>
  <c r="Q83" i="1"/>
  <c r="Q84" i="1"/>
  <c r="Q85" i="1"/>
  <c r="Q86" i="1"/>
  <c r="Q87" i="1"/>
  <c r="Q88" i="1"/>
  <c r="Q89" i="1"/>
  <c r="Q90" i="1"/>
  <c r="Q91" i="1"/>
  <c r="Q92" i="1"/>
  <c r="Q100" i="1"/>
  <c r="Q101" i="1"/>
  <c r="Q102" i="1"/>
  <c r="Q104" i="1"/>
  <c r="Q106" i="1"/>
  <c r="Q52" i="1"/>
  <c r="Q29" i="1"/>
  <c r="Q26" i="1"/>
  <c r="Q13" i="1"/>
  <c r="Q10" i="1"/>
  <c r="F16" i="2" l="1"/>
  <c r="C22" i="2"/>
  <c r="B22" i="2"/>
  <c r="Q48" i="1"/>
  <c r="Q49" i="1"/>
  <c r="Q45" i="1"/>
  <c r="A217" i="1"/>
  <c r="B12" i="2"/>
  <c r="B13" i="2" s="1"/>
  <c r="B9" i="2"/>
  <c r="B28" i="2" s="1"/>
  <c r="B8" i="2"/>
  <c r="Q50" i="1"/>
  <c r="Q4" i="1"/>
  <c r="Q8" i="1"/>
  <c r="Q11" i="1"/>
  <c r="Q12" i="1"/>
  <c r="Q15" i="1"/>
  <c r="Q16" i="1"/>
  <c r="Q17" i="1"/>
  <c r="Q20" i="1"/>
  <c r="Q21" i="1"/>
  <c r="Q22" i="1"/>
  <c r="Q23" i="1"/>
  <c r="Q27" i="1"/>
  <c r="Q30" i="1"/>
  <c r="Q31" i="1"/>
  <c r="Q32" i="1"/>
  <c r="Q34" i="1"/>
  <c r="Q37" i="1"/>
  <c r="Q38" i="1"/>
  <c r="Q42" i="1"/>
  <c r="Q46" i="1"/>
  <c r="N215" i="1"/>
  <c r="C215" i="1"/>
  <c r="Q214" i="1"/>
  <c r="I215" i="1"/>
  <c r="C9" i="2" s="1"/>
  <c r="L215" i="1"/>
  <c r="C8" i="2" l="1"/>
  <c r="C26" i="2" s="1"/>
  <c r="C27" i="2" s="1"/>
  <c r="C13" i="4"/>
  <c r="C3" i="2"/>
  <c r="E4" i="2" s="1"/>
  <c r="F4" i="2" s="1"/>
  <c r="B13" i="4"/>
  <c r="C12" i="2"/>
  <c r="C28" i="2"/>
  <c r="O215" i="1"/>
  <c r="D6" i="2" l="1"/>
  <c r="E8" i="2"/>
  <c r="F8" i="2" s="1"/>
  <c r="E9" i="2"/>
  <c r="D8" i="2"/>
  <c r="F9" i="2"/>
  <c r="D7" i="2"/>
  <c r="C11" i="2"/>
  <c r="E28" i="2"/>
  <c r="F28" i="2" s="1"/>
  <c r="C32" i="2"/>
  <c r="Q51" i="1"/>
  <c r="P215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F21" i="2"/>
  <c r="E17" i="2"/>
  <c r="C13" i="2"/>
  <c r="D11" i="2" s="1"/>
  <c r="E32" i="2"/>
  <c r="F32" i="2" s="1"/>
  <c r="E18" i="2"/>
  <c r="H20" i="2"/>
  <c r="H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s="1"/>
  <c r="D13" i="4" l="1"/>
  <c r="D8" i="4"/>
  <c r="D4" i="4"/>
  <c r="D5" i="4"/>
  <c r="D7" i="4"/>
  <c r="G18" i="2"/>
  <c r="G20" i="2"/>
  <c r="G21" i="2"/>
  <c r="G17" i="2"/>
  <c r="E23" i="2"/>
  <c r="D9" i="4" l="1"/>
  <c r="G22" i="2"/>
</calcChain>
</file>

<file path=xl/sharedStrings.xml><?xml version="1.0" encoding="utf-8"?>
<sst xmlns="http://schemas.openxmlformats.org/spreadsheetml/2006/main" count="1069" uniqueCount="639">
  <si>
    <t>Last</t>
  </si>
  <si>
    <t>First</t>
  </si>
  <si>
    <t>Giving Units</t>
  </si>
  <si>
    <t>2021 Giving</t>
  </si>
  <si>
    <t>Pledge</t>
  </si>
  <si>
    <t>Sept YTD</t>
  </si>
  <si>
    <t>Difference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</si>
  <si>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</si>
  <si>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</si>
  <si>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</si>
  <si>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</si>
  <si>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</si>
  <si>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</si>
  <si>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</si>
  <si>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</si>
  <si>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</si>
  <si>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</si>
  <si>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</si>
  <si>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</si>
  <si>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</si>
  <si>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</si>
  <si>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</si>
  <si>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</si>
  <si>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</si>
  <si>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</si>
  <si>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</si>
  <si>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</si>
  <si>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</si>
  <si>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</si>
  <si>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</si>
  <si>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</si>
  <si>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</si>
  <si>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Bidtrup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</si>
  <si>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</si>
  <si>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</si>
  <si>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</si>
  <si>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</si>
  <si>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</si>
  <si>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</si>
  <si>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</si>
  <si>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</si>
  <si>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</si>
  <si>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</si>
  <si>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</si>
  <si>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</si>
  <si>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</si>
  <si>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</si>
  <si>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</si>
  <si>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</si>
  <si>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</si>
  <si>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</si>
  <si>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</si>
  <si>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</si>
  <si>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</si>
  <si>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</si>
  <si>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</si>
  <si>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</si>
  <si>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</si>
  <si>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</si>
  <si>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2023 Detail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</si>
  <si>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</si>
  <si>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</si>
  <si>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</si>
  <si>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</si>
  <si>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</si>
  <si>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</si>
  <si>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</si>
  <si>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</si>
  <si>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</si>
  <si>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</si>
  <si>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</si>
  <si>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</si>
  <si>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</si>
  <si>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</si>
  <si>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</si>
  <si>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</si>
  <si>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</si>
  <si>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</si>
  <si>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</si>
  <si>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</si>
  <si>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</si>
  <si>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</si>
  <si>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</si>
  <si>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</si>
  <si>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</si>
  <si>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</si>
  <si>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</si>
  <si>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</si>
  <si>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</si>
  <si>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</si>
  <si>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</si>
  <si>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</si>
  <si>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</si>
  <si>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</si>
  <si>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</si>
  <si>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</si>
  <si>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</si>
  <si>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</si>
  <si>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</si>
  <si>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</si>
  <si>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</si>
  <si>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</si>
  <si>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</si>
  <si>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</si>
  <si>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</si>
  <si>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Ken &amp; MaryAnn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</si>
  <si>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</si>
  <si>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</si>
  <si>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</si>
  <si>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</si>
  <si>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</si>
  <si>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</si>
  <si>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</si>
  <si>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</si>
  <si>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</si>
  <si>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</si>
  <si>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</si>
  <si>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</si>
  <si>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</si>
  <si>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</si>
  <si>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</si>
  <si>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</si>
  <si>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</si>
  <si>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</si>
  <si>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</si>
  <si>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</si>
  <si>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</si>
  <si>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</si>
  <si>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</si>
  <si>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</si>
  <si>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</si>
  <si>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</si>
  <si>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</si>
  <si>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</si>
  <si>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</si>
  <si>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</si>
  <si>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</si>
  <si>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</si>
  <si>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</si>
  <si>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</si>
  <si>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</si>
  <si>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</si>
  <si>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</si>
  <si>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</si>
  <si>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</si>
  <si>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</si>
  <si>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</si>
  <si>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</si>
  <si>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</si>
  <si>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</si>
  <si>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</si>
  <si>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</si>
  <si>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</si>
  <si>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</si>
  <si>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</si>
  <si>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</si>
  <si>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</si>
  <si>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</si>
  <si>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</si>
  <si>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</si>
  <si>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</si>
  <si>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</si>
  <si>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</si>
  <si>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</si>
  <si>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</si>
  <si>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</si>
  <si>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</si>
  <si>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</si>
  <si>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</si>
  <si>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</si>
  <si>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</si>
  <si>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</si>
  <si>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</si>
  <si>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</si>
  <si>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</si>
  <si>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</si>
  <si>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</si>
  <si>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</si>
  <si>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</si>
  <si>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</si>
  <si>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</si>
  <si>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</si>
  <si>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</si>
  <si>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</si>
  <si>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Dave &amp; Sandy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</si>
  <si>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</si>
  <si>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</si>
  <si>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</si>
  <si>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</si>
  <si>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</si>
  <si>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</si>
  <si>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</si>
  <si>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</si>
  <si>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</si>
  <si>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</si>
  <si>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</si>
  <si>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</si>
  <si>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</si>
  <si>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</si>
  <si>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</si>
  <si>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</si>
  <si>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</si>
  <si>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</si>
  <si>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</si>
  <si>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</si>
  <si>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</si>
  <si>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</si>
  <si>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</si>
  <si>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</si>
  <si>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</si>
  <si>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</si>
  <si>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</si>
  <si>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</si>
  <si>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</si>
  <si>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</si>
  <si>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</si>
  <si>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</si>
  <si>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</si>
  <si>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</si>
  <si>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</si>
  <si>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</si>
  <si>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</si>
  <si>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</si>
  <si>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</si>
  <si>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</si>
  <si>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</si>
  <si>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</si>
  <si>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</si>
  <si>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</si>
  <si>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</si>
  <si>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</si>
  <si>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</si>
  <si>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</si>
  <si>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</si>
  <si>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</si>
  <si>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</si>
  <si>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</si>
  <si>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</si>
  <si>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</si>
  <si>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</si>
  <si>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</si>
  <si>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</si>
  <si>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</si>
  <si>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</si>
  <si>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</si>
  <si>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</si>
  <si>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</si>
  <si>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</si>
  <si>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</si>
  <si>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</si>
  <si>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</si>
  <si>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Trenton &amp; Kara</t>
  </si>
  <si>
    <t>Behlke</t>
  </si>
  <si>
    <t>Darwin</t>
  </si>
  <si>
    <t>Black</t>
  </si>
  <si>
    <t>Carrie</t>
  </si>
  <si>
    <t>Chris &amp; Mary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</si>
  <si>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</si>
  <si>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</si>
  <si>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</si>
  <si>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</si>
  <si>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</si>
  <si>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</si>
  <si>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</si>
  <si>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</si>
  <si>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</si>
  <si>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</si>
  <si>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</si>
  <si>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</si>
  <si>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</si>
  <si>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</si>
  <si>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</si>
  <si>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</si>
  <si>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</si>
  <si>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</si>
  <si>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</si>
  <si>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</si>
  <si>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</si>
  <si>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</si>
  <si>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</si>
  <si>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</si>
  <si>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</si>
  <si>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</si>
  <si>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</si>
  <si>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</si>
  <si>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</si>
  <si>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</si>
  <si>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</si>
  <si>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</si>
  <si>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</si>
  <si>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</si>
  <si>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</si>
  <si>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</si>
  <si>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</si>
  <si>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</si>
  <si>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</si>
  <si>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</si>
  <si>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</si>
  <si>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</si>
  <si>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</si>
  <si>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</si>
  <si>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</si>
  <si>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</si>
  <si>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</si>
  <si>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</si>
  <si>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</si>
  <si>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</si>
  <si>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</si>
  <si>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</si>
  <si>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</si>
  <si>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</si>
  <si>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</si>
  <si>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</si>
  <si>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</si>
  <si>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</si>
  <si>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</si>
  <si>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</si>
  <si>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</si>
  <si>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</si>
  <si>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</si>
  <si>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</si>
  <si>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</si>
  <si>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</si>
  <si>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</si>
  <si>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</si>
  <si>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</si>
  <si>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</si>
  <si>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</si>
  <si>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</si>
  <si>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</si>
  <si>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</si>
  <si>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</si>
  <si>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</si>
  <si>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</si>
  <si>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</si>
  <si>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</si>
  <si>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</si>
  <si>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</si>
  <si>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</si>
  <si>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</si>
  <si>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</si>
  <si>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</si>
  <si>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</si>
  <si>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</si>
  <si>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</si>
  <si>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</si>
  <si>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</si>
  <si>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</si>
  <si>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</si>
  <si>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</si>
  <si>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</si>
  <si>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</si>
  <si>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</si>
  <si>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</si>
  <si>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</si>
  <si>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</si>
  <si>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</si>
  <si>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</si>
  <si>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</si>
  <si>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</si>
  <si>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</si>
  <si>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</si>
  <si>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</si>
  <si>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</si>
  <si>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</si>
  <si>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</si>
  <si>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</si>
  <si>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</si>
  <si>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</si>
  <si>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</si>
  <si>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</si>
  <si>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</si>
  <si>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</si>
  <si>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</si>
  <si>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</si>
  <si>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</si>
  <si>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Nsyhsn &amp; Crystal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</si>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</sst>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4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0" fontId="0" fillId="0" borderId="15" xfId="0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4" fillId="0" borderId="5" xfId="0" applyNumberFormat="1" applyFont="1" applyBorder="1"/>
    <xf numFmtId="3" fontId="13" fillId="0" borderId="0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5" borderId="1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3" fontId="0" fillId="5" borderId="6" xfId="0" applyNumberFormat="1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3" fontId="5" fillId="5" borderId="4" xfId="0" applyNumberFormat="1" applyFont="1" applyFill="1" applyBorder="1"/>
    <xf numFmtId="3" fontId="5" fillId="5" borderId="5" xfId="0" applyNumberFormat="1" applyFont="1" applyFill="1" applyBorder="1" applyAlignment="1">
      <alignment horizontal="center"/>
    </xf>
    <xf numFmtId="3" fontId="2" fillId="5" borderId="6" xfId="0" applyNumberFormat="1" applyFont="1" applyFill="1" applyBorder="1"/>
    <xf numFmtId="3" fontId="2" fillId="5" borderId="8" xfId="0" applyNumberFormat="1" applyFont="1" applyFill="1" applyBorder="1"/>
    <xf numFmtId="3" fontId="0" fillId="5" borderId="0" xfId="0" applyNumberFormat="1" applyFill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DDDDD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22</xdr:row>
      <xdr:rowOff>88900</xdr:rowOff>
    </xdr:from>
    <xdr:to>
      <xdr:col>9</xdr:col>
      <xdr:colOff>571500</xdr:colOff>
      <xdr:row>22</xdr:row>
      <xdr:rowOff>107950</xdr:rowOff>
    </xdr:to>
    <xdr:cxnSp macro="">
      <xdr:nvCxnSpPr>
        <xdr:cNvPr id="5" name="Straight Connector 4"/>
        <xdr:cNvCxnSpPr/>
      </xdr:nvCxnSpPr>
      <xdr:spPr>
        <a:xfrm>
          <a:off x="12700" y="4819650"/>
          <a:ext cx="8401050" cy="190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grmagne9@ww.rr.com" TargetMode="External"/><Relationship Id="rId68" Type="http://schemas.openxmlformats.org/officeDocument/2006/relationships/hyperlink" Target="mailto:sjscore44@gmail.com" TargetMode="Externa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cbvacek@hot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hotgram57@hotmail.com" TargetMode="External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extrovert.grampa@gmail.com" TargetMode="External"/><Relationship Id="rId73" Type="http://schemas.openxmlformats.org/officeDocument/2006/relationships/printerSettings" Target="../printerSettings/printerSettings2.bin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dw.nielsen@yahoo.com" TargetMode="External"/><Relationship Id="rId69" Type="http://schemas.openxmlformats.org/officeDocument/2006/relationships/hyperlink" Target="mailto:tunie8420@aol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gltingb@g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taceyr@wi.rr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tytrabert@att.net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25" t="s">
        <v>535</v>
      </c>
      <c r="B2" s="126"/>
      <c r="C2" s="126"/>
      <c r="D2" s="126"/>
      <c r="E2" s="126"/>
      <c r="F2" s="126"/>
      <c r="G2" s="126"/>
      <c r="H2" s="127"/>
    </row>
    <row r="3" spans="1:8" x14ac:dyDescent="0.35">
      <c r="A3" s="2"/>
      <c r="B3" s="12" t="s">
        <v>537</v>
      </c>
      <c r="C3" s="12" t="s">
        <v>7</v>
      </c>
      <c r="D3" s="39" t="s">
        <v>532</v>
      </c>
      <c r="E3" s="3"/>
      <c r="F3" s="3"/>
      <c r="G3" s="3"/>
      <c r="H3" s="6"/>
    </row>
    <row r="4" spans="1:8" x14ac:dyDescent="0.35">
      <c r="A4" s="2" t="s">
        <v>64</v>
      </c>
      <c r="B4" s="18">
        <f>COUNTIF(Data!Q$4:Q214,"S")</f>
        <v>20</v>
      </c>
      <c r="C4" s="62">
        <f>SUMIF(Data!Q$4:Q214,"S",Data!O$4:O214)</f>
        <v>116840</v>
      </c>
      <c r="D4" s="109">
        <f>+C4/C$9</f>
        <v>0.45445352003111628</v>
      </c>
      <c r="E4" s="3" t="s">
        <v>61</v>
      </c>
      <c r="F4" s="3"/>
      <c r="G4" s="3"/>
      <c r="H4" s="6"/>
    </row>
    <row r="5" spans="1:8" x14ac:dyDescent="0.35">
      <c r="A5" s="2" t="s">
        <v>65</v>
      </c>
      <c r="B5" s="18">
        <f>COUNTIF(Data!Q$4:Q214,"I")</f>
        <v>22</v>
      </c>
      <c r="C5" s="62">
        <f>SUMIF(Data!Q$4:Q214,"I",Data!O$4:O214)</f>
        <v>57820</v>
      </c>
      <c r="D5" s="109">
        <f>+C5/C$9</f>
        <v>0.2248930377285103</v>
      </c>
      <c r="E5" s="3" t="str">
        <f>+"Increased pledge from 2022 (increase = $"&amp;ROUND(SUMIF(Data!Q$4:Q214,"I",Data!P$4:P214),0)&amp;")"</f>
        <v>Increased pledge from 2022 (increase = $6774)</v>
      </c>
      <c r="F5" s="3"/>
      <c r="G5" s="3"/>
      <c r="H5" s="6"/>
    </row>
    <row r="6" spans="1:8" x14ac:dyDescent="0.35">
      <c r="A6" s="2" t="s">
        <v>66</v>
      </c>
      <c r="B6" s="18">
        <f>COUNTIF(Data!Q$4:Q214,"N")</f>
        <v>16</v>
      </c>
      <c r="C6" s="62">
        <f>SUMIF(Data!Q$4:Q214,"N",Data!O$4:O214)</f>
        <v>44880</v>
      </c>
      <c r="D6" s="109">
        <f>+C6/C$9</f>
        <v>0.17456242707117853</v>
      </c>
      <c r="E6" s="3" t="s">
        <v>60</v>
      </c>
      <c r="F6" s="3"/>
      <c r="G6" s="3"/>
      <c r="H6" s="6"/>
    </row>
    <row r="7" spans="1:8" x14ac:dyDescent="0.35">
      <c r="A7" s="2" t="s">
        <v>67</v>
      </c>
      <c r="B7" s="18">
        <f>COUNTIF(Data!Q$4:Q214,"D")</f>
        <v>53</v>
      </c>
      <c r="C7" s="62">
        <f>SUMIF(Data!Q$4:Q214,"D",Data!O$4:O214)</f>
        <v>37460</v>
      </c>
      <c r="D7" s="109">
        <f>+C7/C$9</f>
        <v>0.14570206145468689</v>
      </c>
      <c r="E7" s="3" t="str">
        <f>+"Decreased pledge from 2022 (decrease = $"&amp;ABS(ROUND(SUMIF(Data!Q$4:Q214,"D",Data!P$4:P214),0))&amp;")"</f>
        <v>Decreased pledge from 2022 (decrease = $101358)</v>
      </c>
      <c r="F7" s="3"/>
      <c r="G7" s="3"/>
      <c r="H7" s="6"/>
    </row>
    <row r="8" spans="1:8" x14ac:dyDescent="0.35">
      <c r="A8" s="2" t="s">
        <v>528</v>
      </c>
      <c r="B8" s="60">
        <f>COUNTIF(Data!Q$4:Q214,"X")+COUNTIF(Data!Q$4:Q214,"E")</f>
        <v>1</v>
      </c>
      <c r="C8" s="62">
        <f>SUMIF(Data!Q$4:Q214,"X",Data!N$4:N214)+SUMIF(Data!Q$4:Q214,"E",Data!N$4:N214)</f>
        <v>100</v>
      </c>
      <c r="D8" s="109">
        <f>+C8/C$9</f>
        <v>3.8895371450797355E-4</v>
      </c>
      <c r="E8" s="3"/>
      <c r="F8" s="3"/>
      <c r="G8" s="3"/>
      <c r="H8" s="6"/>
    </row>
    <row r="9" spans="1:8" ht="15" thickBot="1" x14ac:dyDescent="0.4">
      <c r="A9" s="9" t="s">
        <v>62</v>
      </c>
      <c r="B9" s="64">
        <f>SUM(B4:B8)</f>
        <v>112</v>
      </c>
      <c r="C9" s="65">
        <f>SUM(C4:C8)</f>
        <v>257100</v>
      </c>
      <c r="D9" s="110">
        <f>SUM(D4:D8)</f>
        <v>1</v>
      </c>
      <c r="E9" s="29"/>
      <c r="F9" s="29"/>
      <c r="G9" s="29"/>
      <c r="H9" s="30"/>
    </row>
    <row r="10" spans="1:8" ht="15" thickBot="1" x14ac:dyDescent="0.4"/>
    <row r="11" spans="1:8" x14ac:dyDescent="0.35">
      <c r="A11" s="119"/>
      <c r="B11" s="120">
        <v>2021</v>
      </c>
      <c r="C11" s="120">
        <v>2022</v>
      </c>
      <c r="D11" s="121">
        <v>2023</v>
      </c>
    </row>
    <row r="12" spans="1:8" x14ac:dyDescent="0.35">
      <c r="A12" s="2" t="s">
        <v>2</v>
      </c>
      <c r="B12" s="114">
        <f>COUNTIF(Data!C$4:C214,"&gt;0")</f>
        <v>189</v>
      </c>
      <c r="C12" s="60">
        <f>COUNTIF(Data!G$4:G214,"&gt;0")+18</f>
        <v>113</v>
      </c>
      <c r="D12" s="115">
        <f>+B9</f>
        <v>112</v>
      </c>
    </row>
    <row r="13" spans="1:8" ht="15" thickBot="1" x14ac:dyDescent="0.4">
      <c r="A13" s="116" t="s">
        <v>534</v>
      </c>
      <c r="B13" s="117">
        <f>+Data!C215</f>
        <v>452163.64</v>
      </c>
      <c r="C13" s="118">
        <f>+Data!G215+84102</f>
        <v>210012.75</v>
      </c>
      <c r="D13" s="122">
        <f>+C9</f>
        <v>257100</v>
      </c>
    </row>
    <row r="14" spans="1:8" ht="15" thickBot="1" x14ac:dyDescent="0.4"/>
    <row r="15" spans="1:8" ht="15" thickBot="1" x14ac:dyDescent="0.4">
      <c r="C15" s="124" t="s">
        <v>536</v>
      </c>
      <c r="D15" s="123">
        <v>400000</v>
      </c>
      <c r="E15" t="s">
        <v>538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7"/>
  <sheetViews>
    <sheetView tabSelected="1" topLeftCell="A2" workbookViewId="0">
      <pane xSplit="2" ySplit="2" topLeftCell="N197" activePane="bottomRight" state="frozen"/>
      <selection activeCell="A2" sqref="A2"/>
      <selection pane="topRight" activeCell="C2" sqref="C2"/>
      <selection pane="bottomLeft" activeCell="A4" sqref="A4"/>
      <selection pane="bottomRight" activeCell="S212" sqref="S212"/>
    </sheetView>
  </sheetViews>
  <sheetFormatPr defaultRowHeight="14.5" x14ac:dyDescent="0.35"/>
  <cols>
    <col min="1" max="1" width="14.453125" style="1" customWidth="1"/>
    <col min="2" max="2" width="18.36328125" style="1" customWidth="1"/>
    <col min="3" max="15" width="8.7265625" style="1"/>
    <col min="16" max="17" width="8.7265625" style="174"/>
    <col min="18" max="18" width="26" style="1" customWidth="1"/>
    <col min="19" max="19" width="27.54296875" style="70" customWidth="1"/>
    <col min="20" max="20" width="28.6328125" style="70" customWidth="1"/>
    <col min="21" max="21" width="15" style="70" customWidth="1"/>
    <col min="22" max="22" width="6.36328125" style="71" customWidth="1"/>
    <col min="23" max="23" width="11" style="72" customWidth="1"/>
    <col min="24" max="16384" width="8.7265625" style="1"/>
  </cols>
  <sheetData>
    <row r="1" spans="1:23" ht="24" thickBot="1" x14ac:dyDescent="0.6">
      <c r="A1" s="128" t="s">
        <v>375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55"/>
    </row>
    <row r="2" spans="1:23" ht="15" thickBot="1" x14ac:dyDescent="0.4">
      <c r="A2" s="131" t="s">
        <v>2</v>
      </c>
      <c r="B2" s="132"/>
      <c r="C2" s="129" t="s">
        <v>3</v>
      </c>
      <c r="D2" s="133">
        <v>2022</v>
      </c>
      <c r="E2" s="134"/>
      <c r="F2" s="135"/>
      <c r="G2" s="133">
        <v>2023</v>
      </c>
      <c r="H2" s="134"/>
      <c r="I2" s="134"/>
      <c r="J2" s="134"/>
      <c r="K2" s="135"/>
      <c r="L2" s="133">
        <v>2024</v>
      </c>
      <c r="M2" s="134"/>
      <c r="N2" s="134"/>
      <c r="O2" s="135"/>
      <c r="P2" s="166" t="s">
        <v>6</v>
      </c>
      <c r="Q2" s="167"/>
      <c r="R2" s="160" t="s">
        <v>406</v>
      </c>
      <c r="S2" s="161"/>
      <c r="T2" s="161"/>
      <c r="U2" s="161"/>
      <c r="V2" s="161"/>
      <c r="W2" s="162"/>
    </row>
    <row r="3" spans="1:23" s="85" customFormat="1" ht="29.5" thickBot="1" x14ac:dyDescent="0.4">
      <c r="A3" s="77" t="s">
        <v>0</v>
      </c>
      <c r="B3" s="78" t="s">
        <v>1</v>
      </c>
      <c r="C3" s="130"/>
      <c r="D3" s="79" t="s">
        <v>4</v>
      </c>
      <c r="E3" s="80" t="s">
        <v>5</v>
      </c>
      <c r="F3" s="81" t="s">
        <v>49</v>
      </c>
      <c r="G3" s="79" t="s">
        <v>4</v>
      </c>
      <c r="H3" s="80" t="s">
        <v>10</v>
      </c>
      <c r="I3" s="80" t="s">
        <v>5</v>
      </c>
      <c r="J3" s="86" t="s">
        <v>520</v>
      </c>
      <c r="K3" s="82" t="s">
        <v>519</v>
      </c>
      <c r="L3" s="79" t="s">
        <v>4</v>
      </c>
      <c r="M3" s="80" t="s">
        <v>10</v>
      </c>
      <c r="N3" s="86" t="s">
        <v>520</v>
      </c>
      <c r="O3" s="82" t="s">
        <v>519</v>
      </c>
      <c r="P3" s="168" t="s">
        <v>7</v>
      </c>
      <c r="Q3" s="169" t="s">
        <v>11</v>
      </c>
      <c r="R3" s="163" t="s">
        <v>574</v>
      </c>
      <c r="S3" s="83" t="s">
        <v>405</v>
      </c>
      <c r="T3" s="83" t="s">
        <v>407</v>
      </c>
      <c r="U3" s="83" t="s">
        <v>408</v>
      </c>
      <c r="V3" s="83" t="s">
        <v>409</v>
      </c>
      <c r="W3" s="84" t="s">
        <v>410</v>
      </c>
    </row>
    <row r="4" spans="1:23" x14ac:dyDescent="0.35">
      <c r="A4" s="28" t="s">
        <v>8</v>
      </c>
      <c r="B4" s="4" t="s">
        <v>9</v>
      </c>
      <c r="C4" s="13">
        <v>624</v>
      </c>
      <c r="D4" s="22">
        <v>624</v>
      </c>
      <c r="E4" s="13">
        <v>456</v>
      </c>
      <c r="F4" s="27">
        <f>IF(D4=0,E4,IF(AND(E4=0,I4="A"),D4,IF(E4&gt;D4,E4, IF(E4/D4&gt;0.73,D4,E4))))</f>
        <v>624</v>
      </c>
      <c r="G4" s="22">
        <v>24</v>
      </c>
      <c r="H4" s="26" t="s">
        <v>48</v>
      </c>
      <c r="I4" s="13"/>
      <c r="J4" s="13"/>
      <c r="K4" s="27">
        <f>IF(H4="",0,IF(J4&gt;0,0,IF(H4="A",G4,IF(H4="M",G4*12,IF(H4="W",G4*(Lookups!$B$9+1),IF(H4="B",G4*(+Lookups!$B$10),IF(H4="S",G4*2,IF(AND(G4=0,J4&gt;0),J4,"ERROR"))))))))</f>
        <v>624</v>
      </c>
      <c r="L4" s="22"/>
      <c r="M4" s="26"/>
      <c r="N4" s="13"/>
      <c r="O4" s="27">
        <f>IF(L4="",0,IF(N4&gt;0,0,IF(M4="A",L4,IF(M4="M",L4*12,IF(M4="W",L4*Lookups!B$9,IF(M4="B",L4*+Lookups!B$10,IF(M4="S",L4*2,IF(AND(L4=0,N4&gt;0),N4,"ERROR"))))))))</f>
        <v>0</v>
      </c>
      <c r="P4" s="170">
        <f>IF(AND(O4=0,G4=0),"",IF(N4&gt;0,"",ROUND(+O4-K4,0)))</f>
        <v>-624</v>
      </c>
      <c r="Q4" s="171" t="str">
        <f>IF(AND(N4&gt;0,G4=0,L4=0),"X",IF(AND(N4&gt;0,G4&gt;0),"E",IF(P4="","",IF(P4=0,"S",IF(AND(P4&gt;0,NOT(G4=0)),"I",IF(AND(P4&gt;0,G4=0),"N",IF(P4&lt;0,"D","ERROR")))))))</f>
        <v>D</v>
      </c>
      <c r="R4" s="156"/>
      <c r="T4" s="73"/>
    </row>
    <row r="5" spans="1:23" x14ac:dyDescent="0.35">
      <c r="A5" s="28" t="s">
        <v>244</v>
      </c>
      <c r="B5" s="4" t="s">
        <v>245</v>
      </c>
      <c r="C5" s="13">
        <v>100</v>
      </c>
      <c r="D5" s="22"/>
      <c r="E5" s="13">
        <v>40</v>
      </c>
      <c r="F5" s="27">
        <f>IF(D5=0,E5,IF(AND(E5=0,I5="A"),D5,IF(E5&gt;D5,E5, IF(E5/D5&gt;0.73,D5,E5))))</f>
        <v>40</v>
      </c>
      <c r="G5" s="22"/>
      <c r="H5" s="26"/>
      <c r="I5" s="13"/>
      <c r="J5" s="13"/>
      <c r="K5" s="27">
        <f>IF(H5="",0,IF(J5&gt;0,0,IF(H5="A",G5,IF(H5="M",G5*12,IF(H5="W",G5*(Lookups!$B$9+1),IF(H5="B",G5*(+Lookups!$B$10),IF(H5="S",G5*2,IF(AND(G5=0,J5&gt;0),J5,"ERROR"))))))))</f>
        <v>0</v>
      </c>
      <c r="L5" s="22"/>
      <c r="M5" s="26"/>
      <c r="N5" s="13"/>
      <c r="O5" s="27">
        <f>IF(L5="",0,IF(N5&gt;0,0,IF(M5="A",L5,IF(M5="M",L5*12,IF(M5="W",L5*Lookups!B$9,IF(M5="B",L5*+Lookups!B$10,IF(M5="S",L5*2,IF(AND(L5=0,N5&gt;0),N5,"ERROR"))))))))</f>
        <v>0</v>
      </c>
      <c r="P5" s="170" t="str">
        <f t="shared" ref="P5:P68" si="0">IF(AND(O5=0,G5=0),"",IF(N5&gt;0,"",ROUND(+O5-K5,0)))</f>
        <v/>
      </c>
      <c r="Q5" s="171" t="str">
        <f>IF(AND(N5&gt;0,G5=0,L5=0),"X",IF(AND(N5&gt;0,G5&gt;0),"E",IF(P5="","",IF(P5=0,"S",IF(AND(P5&gt;0,NOT(G5=0)),"I",IF(AND(P5&gt;0,G5=0),"N",IF(P5&lt;0,"D","ERROR")))))))</f>
        <v/>
      </c>
      <c r="R5" s="156"/>
    </row>
    <row r="6" spans="1:23" x14ac:dyDescent="0.35">
      <c r="A6" s="143" t="s">
        <v>244</v>
      </c>
      <c r="B6" s="144" t="s">
        <v>246</v>
      </c>
      <c r="C6" s="145">
        <v>2120</v>
      </c>
      <c r="D6" s="146"/>
      <c r="E6" s="145">
        <v>1560</v>
      </c>
      <c r="F6" s="147">
        <f>IF(D6=0,E6,IF(AND(E6=0,I6="A"),D6,IF(E6&gt;D6,E6, IF(E6/D6&gt;0.73,D6,E6))))</f>
        <v>1560</v>
      </c>
      <c r="G6" s="146"/>
      <c r="H6" s="148"/>
      <c r="I6" s="145"/>
      <c r="J6" s="145"/>
      <c r="K6" s="147">
        <f>IF(H6="",0,IF(J6&gt;0,0,IF(H6="A",G6,IF(H6="M",G6*12,IF(H6="W",G6*(Lookups!$B$9+1),IF(H6="B",G6*(+Lookups!$B$10),IF(H6="S",G6*2,IF(AND(G6=0,J6&gt;0),J6,"ERROR"))))))))</f>
        <v>0</v>
      </c>
      <c r="L6" s="146"/>
      <c r="M6" s="148"/>
      <c r="N6" s="145"/>
      <c r="O6" s="147">
        <f>IF(L6="",0,IF(N6&gt;0,0,IF(M6="A",L6,IF(M6="M",L6*12,IF(M6="W",L6*Lookups!B$9,IF(M6="B",L6*+Lookups!B$10,IF(M6="S",L6*2,IF(AND(L6=0,N6&gt;0),N6,"ERROR"))))))))</f>
        <v>0</v>
      </c>
      <c r="P6" s="170" t="str">
        <f t="shared" si="0"/>
        <v/>
      </c>
      <c r="Q6" s="171" t="str">
        <f>IF(AND(N6&gt;0,G6=0,L6=0),"X",IF(AND(N6&gt;0,G6&gt;0),"E",IF(P6="","",IF(P6=0,"S",IF(AND(P6&gt;0,NOT(G6=0)),"I",IF(AND(P6&gt;0,G6=0),"N",IF(P6&lt;0,"D","ERROR")))))))</f>
        <v/>
      </c>
      <c r="R6" s="157"/>
      <c r="S6" s="149" t="s">
        <v>533</v>
      </c>
      <c r="T6" s="149"/>
      <c r="U6" s="149"/>
      <c r="V6" s="150"/>
      <c r="W6" s="151"/>
    </row>
    <row r="7" spans="1:23" x14ac:dyDescent="0.35">
      <c r="A7" s="28" t="s">
        <v>244</v>
      </c>
      <c r="B7" s="4" t="s">
        <v>247</v>
      </c>
      <c r="C7" s="13">
        <v>6500</v>
      </c>
      <c r="D7" s="22"/>
      <c r="E7" s="13">
        <v>5400</v>
      </c>
      <c r="F7" s="27">
        <f>IF(D7=0,E7,IF(AND(E7=0,I7="A"),D7,IF(E7&gt;D7,E7, IF(E7/D7&gt;0.73,D7,E7))))</f>
        <v>5400</v>
      </c>
      <c r="G7" s="22"/>
      <c r="H7" s="26"/>
      <c r="I7" s="13"/>
      <c r="J7" s="13">
        <v>5400</v>
      </c>
      <c r="K7" s="27">
        <f>IF(H7="",0,IF(J7&gt;0,0,IF(H7="A",G7,IF(H7="M",G7*12,IF(H7="W",G7*(Lookups!$B$9+1),IF(H7="B",G7*(+Lookups!$B$10),IF(H7="S",G7*2,IF(AND(G7=0,J7&gt;0),J7,"ERROR"))))))))</f>
        <v>0</v>
      </c>
      <c r="L7" s="22"/>
      <c r="M7" s="26"/>
      <c r="N7" s="13"/>
      <c r="O7" s="27">
        <f>IF(L7="",0,IF(N7&gt;0,0,IF(M7="A",L7,IF(M7="M",L7*12,IF(M7="W",L7*Lookups!B$9,IF(M7="B",L7*+Lookups!B$10,IF(M7="S",L7*2,IF(AND(L7=0,N7&gt;0),N7,"ERROR"))))))))</f>
        <v>0</v>
      </c>
      <c r="P7" s="170" t="str">
        <f t="shared" si="0"/>
        <v/>
      </c>
      <c r="Q7" s="171" t="str">
        <f>IF(AND(N7&gt;0,G7=0,L7=0),"X",IF(AND(N7&gt;0,G7&gt;0),"E",IF(P7="","",IF(P7=0,"S",IF(AND(P7&gt;0,NOT(G7=0)),"I",IF(AND(P7&gt;0,G7=0),"N",IF(P7&lt;0,"D","ERROR")))))))</f>
        <v/>
      </c>
      <c r="R7" s="156"/>
    </row>
    <row r="8" spans="1:23" x14ac:dyDescent="0.35">
      <c r="A8" s="28" t="s">
        <v>12</v>
      </c>
      <c r="B8" s="4" t="s">
        <v>13</v>
      </c>
      <c r="C8" s="13">
        <v>1400</v>
      </c>
      <c r="D8" s="22">
        <v>1540</v>
      </c>
      <c r="E8" s="13">
        <v>725</v>
      </c>
      <c r="F8" s="27">
        <f>IF(D8=0,E8,IF(AND(E8=0,I8="A"),D8,IF(E8&gt;D8,E8, IF(E8/D8&gt;0.73,D8,E8))))</f>
        <v>725</v>
      </c>
      <c r="G8" s="22">
        <v>1500</v>
      </c>
      <c r="H8" s="26" t="s">
        <v>42</v>
      </c>
      <c r="I8" s="13"/>
      <c r="J8" s="13"/>
      <c r="K8" s="27">
        <f>IF(H8="",0,IF(J8&gt;0,0,IF(H8="A",G8,IF(H8="M",G8*12,IF(H8="W",G8*(Lookups!$B$9+1),IF(H8="B",G8*(+Lookups!$B$10),IF(H8="S",G8*2,IF(AND(G8=0,J8&gt;0),J8,"ERROR"))))))))</f>
        <v>1500</v>
      </c>
      <c r="L8" s="22">
        <v>1500</v>
      </c>
      <c r="M8" s="26" t="s">
        <v>42</v>
      </c>
      <c r="N8" s="13"/>
      <c r="O8" s="27">
        <f>IF(L8="",0,IF(N8&gt;0,0,IF(M8="A",L8,IF(M8="M",L8*12,IF(M8="W",L8*Lookups!B$9,IF(M8="B",L8*+Lookups!B$10,IF(M8="S",L8*2,IF(AND(L8=0,N8&gt;0),N8,"ERROR"))))))))</f>
        <v>1500</v>
      </c>
      <c r="P8" s="170">
        <f t="shared" si="0"/>
        <v>0</v>
      </c>
      <c r="Q8" s="171" t="str">
        <f>IF(AND(N8&gt;0,G8=0,L8=0),"X",IF(AND(N8&gt;0,G8&gt;0),"E",IF(P8="","",IF(P8=0,"S",IF(AND(P8&gt;0,NOT(G8=0)),"I",IF(AND(P8&gt;0,G8=0),"N",IF(P8&lt;0,"D","ERROR")))))))</f>
        <v>S</v>
      </c>
      <c r="R8" s="156"/>
      <c r="S8" s="69" t="s">
        <v>418</v>
      </c>
      <c r="T8" s="70" t="s">
        <v>417</v>
      </c>
      <c r="U8" s="70" t="s">
        <v>419</v>
      </c>
      <c r="V8" s="71" t="s">
        <v>414</v>
      </c>
      <c r="W8" s="72">
        <v>53126</v>
      </c>
    </row>
    <row r="9" spans="1:23" x14ac:dyDescent="0.35">
      <c r="A9" s="28" t="s">
        <v>12</v>
      </c>
      <c r="B9" s="4" t="s">
        <v>248</v>
      </c>
      <c r="C9" s="13">
        <v>2000</v>
      </c>
      <c r="D9" s="22"/>
      <c r="E9" s="13">
        <v>3000</v>
      </c>
      <c r="F9" s="27">
        <f>IF(D9=0,E9,IF(AND(E9=0,I9="A"),D9,IF(E9&gt;D9,E9, IF(E9/D9&gt;0.73,D9,E9))))</f>
        <v>3000</v>
      </c>
      <c r="G9" s="22"/>
      <c r="H9" s="26"/>
      <c r="I9" s="13"/>
      <c r="J9" s="13">
        <v>3000</v>
      </c>
      <c r="K9" s="27">
        <f>IF(H9="",0,IF(J9&gt;0,0,IF(H9="A",G9,IF(H9="M",G9*12,IF(H9="W",G9*(Lookups!$B$9+1),IF(H9="B",G9*(+Lookups!$B$10),IF(H9="S",G9*2,IF(AND(G9=0,J9&gt;0),J9,"ERROR"))))))))</f>
        <v>0</v>
      </c>
      <c r="L9" s="22"/>
      <c r="M9" s="26"/>
      <c r="N9" s="13"/>
      <c r="O9" s="27">
        <f>IF(L9="",0,IF(N9&gt;0,0,IF(M9="A",L9,IF(M9="M",L9*12,IF(M9="W",L9*Lookups!B$9,IF(M9="B",L9*+Lookups!B$10,IF(M9="S",L9*2,IF(AND(L9=0,N9&gt;0),N9,"ERROR"))))))))</f>
        <v>0</v>
      </c>
      <c r="P9" s="170" t="str">
        <f t="shared" si="0"/>
        <v/>
      </c>
      <c r="Q9" s="171" t="str">
        <f>IF(AND(N9&gt;0,G9=0,L9=0),"X",IF(AND(N9&gt;0,G9&gt;0),"E",IF(P9="","",IF(P9=0,"S",IF(AND(P9&gt;0,NOT(G9=0)),"I",IF(AND(P9&gt;0,G9=0),"N",IF(P9&lt;0,"D","ERROR")))))))</f>
        <v/>
      </c>
      <c r="R9" s="156"/>
    </row>
    <row r="10" spans="1:23" x14ac:dyDescent="0.35">
      <c r="A10" s="28" t="s">
        <v>68</v>
      </c>
      <c r="B10" s="4" t="s">
        <v>69</v>
      </c>
      <c r="C10" s="13">
        <v>900</v>
      </c>
      <c r="D10" s="22">
        <v>1200</v>
      </c>
      <c r="E10" s="13">
        <v>700</v>
      </c>
      <c r="F10" s="27">
        <f>IF(D10=0,E10,IF(AND(E10=0,I10="A"),D10,IF(E10&gt;D10,E10, IF(E10/D10&gt;0.73,D10,E10))))</f>
        <v>700</v>
      </c>
      <c r="G10" s="22">
        <v>100</v>
      </c>
      <c r="H10" s="26" t="s">
        <v>46</v>
      </c>
      <c r="I10" s="13"/>
      <c r="J10" s="13"/>
      <c r="K10" s="27">
        <f>IF(H10="",0,IF(J10&gt;0,0,IF(H10="A",G10,IF(H10="M",G10*12,IF(H10="W",G10*(Lookups!$B$9+1),IF(H10="B",G10*(+Lookups!$B$10),IF(H10="S",G10*2,IF(AND(G10=0,J10&gt;0),J10,"ERROR"))))))))</f>
        <v>1200</v>
      </c>
      <c r="L10" s="22"/>
      <c r="M10" s="26"/>
      <c r="N10" s="13"/>
      <c r="O10" s="27">
        <f>IF(L10="",0,IF(N10&gt;0,0,IF(M10="A",L10,IF(M10="M",L10*12,IF(M10="W",L10*Lookups!B$9,IF(M10="B",L10*+Lookups!B$10,IF(M10="S",L10*2,IF(AND(L10=0,N10&gt;0),N10,"ERROR"))))))))</f>
        <v>0</v>
      </c>
      <c r="P10" s="170">
        <f t="shared" si="0"/>
        <v>-1200</v>
      </c>
      <c r="Q10" s="171" t="str">
        <f>IF(AND(N10&gt;0,G10=0,L10=0),"X",IF(AND(N10&gt;0,G10&gt;0),"E",IF(P10="","",IF(P10=0,"S",IF(AND(P10&gt;0,NOT(G10=0)),"I",IF(AND(P10&gt;0,G10=0),"N",IF(P10&lt;0,"D","ERROR")))))))</f>
        <v>D</v>
      </c>
      <c r="R10" s="156"/>
      <c r="S10" s="69" t="s">
        <v>416</v>
      </c>
      <c r="T10" s="70" t="s">
        <v>415</v>
      </c>
      <c r="U10" s="70" t="s">
        <v>413</v>
      </c>
      <c r="V10" s="71" t="s">
        <v>414</v>
      </c>
      <c r="W10" s="72">
        <v>53406</v>
      </c>
    </row>
    <row r="11" spans="1:23" x14ac:dyDescent="0.35">
      <c r="A11" s="28" t="s">
        <v>14</v>
      </c>
      <c r="B11" s="4" t="s">
        <v>72</v>
      </c>
      <c r="C11" s="13">
        <v>1300</v>
      </c>
      <c r="D11" s="22">
        <v>1350</v>
      </c>
      <c r="E11" s="13">
        <v>0</v>
      </c>
      <c r="F11" s="139">
        <v>1350</v>
      </c>
      <c r="G11" s="22">
        <v>1350</v>
      </c>
      <c r="H11" s="26" t="s">
        <v>42</v>
      </c>
      <c r="I11" s="13"/>
      <c r="J11" s="13"/>
      <c r="K11" s="27">
        <f>IF(H11="",0,IF(J11&gt;0,0,IF(H11="A",G11,IF(H11="M",G11*12,IF(H11="W",G11*(Lookups!$B$9+1),IF(H11="B",G11*(+Lookups!$B$10),IF(H11="S",G11*2,IF(AND(G11=0,J11&gt;0),J11,"ERROR"))))))))</f>
        <v>1350</v>
      </c>
      <c r="L11" s="22"/>
      <c r="M11" s="26"/>
      <c r="N11" s="13"/>
      <c r="O11" s="27">
        <f>IF(L11="",0,IF(N11&gt;0,0,IF(M11="A",L11,IF(M11="M",L11*12,IF(M11="W",L11*Lookups!B$9,IF(M11="B",L11*+Lookups!B$10,IF(M11="S",L11*2,IF(AND(L11=0,N11&gt;0),N11,"ERROR"))))))))</f>
        <v>0</v>
      </c>
      <c r="P11" s="170">
        <f t="shared" si="0"/>
        <v>-1350</v>
      </c>
      <c r="Q11" s="171" t="str">
        <f>IF(AND(N11&gt;0,G11=0,L11=0),"X",IF(AND(N11&gt;0,G11&gt;0),"E",IF(P11="","",IF(P11=0,"S",IF(AND(P11&gt;0,NOT(G11=0)),"I",IF(AND(P11&gt;0,G11=0),"N",IF(P11&lt;0,"D","ERROR")))))))</f>
        <v>D</v>
      </c>
      <c r="R11" s="156"/>
    </row>
    <row r="12" spans="1:23" x14ac:dyDescent="0.35">
      <c r="A12" s="143" t="s">
        <v>15</v>
      </c>
      <c r="B12" s="144" t="s">
        <v>16</v>
      </c>
      <c r="C12" s="145">
        <v>1800</v>
      </c>
      <c r="D12" s="146">
        <v>2100</v>
      </c>
      <c r="E12" s="145">
        <v>1575</v>
      </c>
      <c r="F12" s="147">
        <f>IF(D12=0,E12,IF(AND(E12=0,I12="A"),D12,IF(E12&gt;D12,E12, IF(E12/D12&gt;0.73,D12,E12))))</f>
        <v>2100</v>
      </c>
      <c r="G12" s="146">
        <v>175</v>
      </c>
      <c r="H12" s="148" t="s">
        <v>46</v>
      </c>
      <c r="I12" s="145"/>
      <c r="J12" s="145"/>
      <c r="K12" s="147">
        <f>IF(H12="",0,IF(J12&gt;0,0,IF(H12="A",G12,IF(H12="M",G12*12,IF(H12="W",G12*(Lookups!$B$9+1),IF(H12="B",G12*(+Lookups!$B$10),IF(H12="S",G12*2,IF(AND(G12=0,J12&gt;0),J12,"ERROR"))))))))</f>
        <v>2100</v>
      </c>
      <c r="L12" s="146"/>
      <c r="M12" s="148"/>
      <c r="N12" s="145"/>
      <c r="O12" s="147">
        <f>IF(L12="",0,IF(N12&gt;0,0,IF(M12="A",L12,IF(M12="M",L12*12,IF(M12="W",L12*Lookups!B$9,IF(M12="B",L12*+Lookups!B$10,IF(M12="S",L12*2,IF(AND(L12=0,N12&gt;0),N12,"ERROR"))))))))</f>
        <v>0</v>
      </c>
      <c r="P12" s="170">
        <f t="shared" si="0"/>
        <v>-2100</v>
      </c>
      <c r="Q12" s="171" t="str">
        <f>IF(AND(N12&gt;0,G12=0,L12=0),"X",IF(AND(N12&gt;0,G12&gt;0),"E",IF(P12="","",IF(P12=0,"S",IF(AND(P12&gt;0,NOT(G12=0)),"I",IF(AND(P12&gt;0,G12=0),"N",IF(P12&lt;0,"D","ERROR")))))))</f>
        <v>D</v>
      </c>
      <c r="R12" s="157"/>
      <c r="S12" s="152" t="s">
        <v>420</v>
      </c>
      <c r="T12" s="149" t="s">
        <v>421</v>
      </c>
      <c r="U12" s="149" t="s">
        <v>413</v>
      </c>
      <c r="V12" s="150" t="s">
        <v>414</v>
      </c>
      <c r="W12" s="151">
        <v>53405</v>
      </c>
    </row>
    <row r="13" spans="1:23" x14ac:dyDescent="0.35">
      <c r="A13" s="28" t="s">
        <v>70</v>
      </c>
      <c r="B13" s="4" t="s">
        <v>71</v>
      </c>
      <c r="C13" s="13">
        <v>1200</v>
      </c>
      <c r="D13" s="22">
        <v>1200</v>
      </c>
      <c r="E13" s="13">
        <v>900</v>
      </c>
      <c r="F13" s="27">
        <f>IF(D13=0,E13,IF(AND(E13=0,I13="A"),D13,IF(E13&gt;D13,E13, IF(E13/D13&gt;0.73,D13,E13))))</f>
        <v>1200</v>
      </c>
      <c r="G13" s="22">
        <v>100</v>
      </c>
      <c r="H13" s="26" t="s">
        <v>46</v>
      </c>
      <c r="I13" s="13"/>
      <c r="J13" s="13"/>
      <c r="K13" s="27">
        <f>IF(H13="",0,IF(J13&gt;0,0,IF(H13="A",G13,IF(H13="M",G13*12,IF(H13="W",G13*(Lookups!$B$9+1),IF(H13="B",G13*(+Lookups!$B$10),IF(H13="S",G13*2,IF(AND(G13=0,J13&gt;0),J13,"ERROR"))))))))</f>
        <v>1200</v>
      </c>
      <c r="L13" s="22"/>
      <c r="M13" s="26"/>
      <c r="N13" s="13"/>
      <c r="O13" s="27">
        <f>IF(L13="",0,IF(N13&gt;0,0,IF(M13="A",L13,IF(M13="M",L13*12,IF(M13="W",L13*Lookups!B$9,IF(M13="B",L13*+Lookups!B$10,IF(M13="S",L13*2,IF(AND(L13=0,N13&gt;0),N13,"ERROR"))))))))</f>
        <v>0</v>
      </c>
      <c r="P13" s="170">
        <f t="shared" si="0"/>
        <v>-1200</v>
      </c>
      <c r="Q13" s="171" t="str">
        <f>IF(AND(N13&gt;0,G13=0,L13=0),"X",IF(AND(N13&gt;0,G13&gt;0),"E",IF(P13="","",IF(P13=0,"S",IF(AND(P13&gt;0,NOT(G13=0)),"I",IF(AND(P13&gt;0,G13=0),"N",IF(P13&lt;0,"D","ERROR")))))))</f>
        <v>D</v>
      </c>
      <c r="R13" s="156"/>
    </row>
    <row r="14" spans="1:23" x14ac:dyDescent="0.35">
      <c r="A14" s="28" t="s">
        <v>249</v>
      </c>
      <c r="B14" s="4" t="s">
        <v>250</v>
      </c>
      <c r="C14" s="13">
        <v>470</v>
      </c>
      <c r="D14" s="22"/>
      <c r="E14" s="13">
        <v>150</v>
      </c>
      <c r="F14" s="27">
        <f>IF(D14=0,E14,IF(AND(E14=0,I14="A"),D14,IF(E14&gt;D14,E14, IF(E14/D14&gt;0.73,D14,E14))))</f>
        <v>150</v>
      </c>
      <c r="G14" s="22">
        <v>50</v>
      </c>
      <c r="H14" s="26" t="s">
        <v>46</v>
      </c>
      <c r="I14" s="13"/>
      <c r="J14" s="13"/>
      <c r="K14" s="27">
        <f>IF(H14="",0,IF(J14&gt;0,0,IF(H14="A",G14,IF(H14="M",G14*12,IF(H14="W",G14*(Lookups!$B$9+1),IF(H14="B",G14*(+Lookups!$B$10),IF(H14="S",G14*2,IF(AND(G14=0,J14&gt;0),J14,"ERROR"))))))))</f>
        <v>600</v>
      </c>
      <c r="L14" s="22">
        <v>50</v>
      </c>
      <c r="M14" s="26" t="s">
        <v>46</v>
      </c>
      <c r="N14" s="13"/>
      <c r="O14" s="27">
        <f>IF(L14="",0,IF(N14&gt;0,0,IF(M14="A",L14,IF(M14="M",L14*12,IF(M14="W",L14*Lookups!B$9,IF(M14="B",L14*+Lookups!B$10,IF(M14="S",L14*2,IF(AND(L14=0,N14&gt;0),N14,"ERROR"))))))))</f>
        <v>600</v>
      </c>
      <c r="P14" s="170">
        <f t="shared" si="0"/>
        <v>0</v>
      </c>
      <c r="Q14" s="171" t="str">
        <f>IF(AND(N14&gt;0,G14=0,L14=0),"X",IF(AND(N14&gt;0,G14&gt;0),"E",IF(P14="","",IF(P14=0,"S",IF(AND(P14&gt;0,NOT(G14=0)),"I",IF(AND(P14&gt;0,G14=0),"N",IF(P14&lt;0,"D","ERROR")))))))</f>
        <v>S</v>
      </c>
      <c r="R14" s="156"/>
      <c r="S14" s="69" t="s">
        <v>422</v>
      </c>
      <c r="T14" s="70" t="s">
        <v>423</v>
      </c>
      <c r="U14" s="70" t="s">
        <v>413</v>
      </c>
      <c r="V14" s="71" t="s">
        <v>414</v>
      </c>
      <c r="W14" s="72">
        <v>53406</v>
      </c>
    </row>
    <row r="15" spans="1:23" x14ac:dyDescent="0.35">
      <c r="A15" s="28" t="s">
        <v>17</v>
      </c>
      <c r="B15" s="4" t="s">
        <v>18</v>
      </c>
      <c r="C15" s="13"/>
      <c r="D15" s="22">
        <v>400</v>
      </c>
      <c r="E15" s="13">
        <v>60</v>
      </c>
      <c r="F15" s="27">
        <f>IF(D15=0,E15,IF(AND(E15=0,I15="A"),D15,IF(E15&gt;D15,E15, IF(E15/D15&gt;0.73,D15,E15))))</f>
        <v>60</v>
      </c>
      <c r="G15" s="22">
        <v>300</v>
      </c>
      <c r="H15" s="26" t="s">
        <v>42</v>
      </c>
      <c r="I15" s="13"/>
      <c r="J15" s="13"/>
      <c r="K15" s="27">
        <f>IF(H15="",0,IF(J15&gt;0,0,IF(H15="A",G15,IF(H15="M",G15*12,IF(H15="W",G15*(Lookups!$B$9+1),IF(H15="B",G15*(+Lookups!$B$10),IF(H15="S",G15*2,IF(AND(G15=0,J15&gt;0),J15,"ERROR"))))))))</f>
        <v>300</v>
      </c>
      <c r="L15" s="22"/>
      <c r="M15" s="26"/>
      <c r="N15" s="13"/>
      <c r="O15" s="27">
        <f>IF(L15="",0,IF(N15&gt;0,0,IF(M15="A",L15,IF(M15="M",L15*12,IF(M15="W",L15*Lookups!B$9,IF(M15="B",L15*+Lookups!B$10,IF(M15="S",L15*2,IF(AND(L15=0,N15&gt;0),N15,"ERROR"))))))))</f>
        <v>0</v>
      </c>
      <c r="P15" s="170">
        <f t="shared" si="0"/>
        <v>-300</v>
      </c>
      <c r="Q15" s="171" t="str">
        <f>IF(AND(N15&gt;0,G15=0,L15=0),"X",IF(AND(N15&gt;0,G15&gt;0),"E",IF(P15="","",IF(P15=0,"S",IF(AND(P15&gt;0,NOT(G15=0)),"I",IF(AND(P15&gt;0,G15=0),"N",IF(P15&lt;0,"D","ERROR")))))))</f>
        <v>D</v>
      </c>
      <c r="R15" s="156"/>
    </row>
    <row r="16" spans="1:23" x14ac:dyDescent="0.35">
      <c r="A16" s="28" t="s">
        <v>19</v>
      </c>
      <c r="B16" s="4" t="s">
        <v>20</v>
      </c>
      <c r="C16" s="13">
        <v>3900</v>
      </c>
      <c r="D16" s="22">
        <v>4200</v>
      </c>
      <c r="E16" s="13">
        <v>3250</v>
      </c>
      <c r="F16" s="27">
        <f>IF(D16=0,E16,IF(AND(E16=0,I16="A"),D16,IF(E16&gt;D16,E16, IF(E16/D16&gt;0.73,D16,E16))))</f>
        <v>4200</v>
      </c>
      <c r="G16" s="22">
        <v>350</v>
      </c>
      <c r="H16" s="26" t="s">
        <v>46</v>
      </c>
      <c r="I16" s="13"/>
      <c r="J16" s="13"/>
      <c r="K16" s="27">
        <f>IF(H16="",0,IF(J16&gt;0,0,IF(H16="A",G16,IF(H16="M",G16*12,IF(H16="W",G16*(Lookups!$B$9+1),IF(H16="B",G16*(+Lookups!$B$10),IF(H16="S",G16*2,IF(AND(G16=0,J16&gt;0),J16,"ERROR"))))))))</f>
        <v>4200</v>
      </c>
      <c r="L16" s="22"/>
      <c r="M16" s="26"/>
      <c r="N16" s="13"/>
      <c r="O16" s="27">
        <f>IF(L16="",0,IF(N16&gt;0,0,IF(M16="A",L16,IF(M16="M",L16*12,IF(M16="W",L16*Lookups!B$9,IF(M16="B",L16*+Lookups!B$10,IF(M16="S",L16*2,IF(AND(L16=0,N16&gt;0),N16,"ERROR"))))))))</f>
        <v>0</v>
      </c>
      <c r="P16" s="170">
        <f t="shared" si="0"/>
        <v>-4200</v>
      </c>
      <c r="Q16" s="171" t="str">
        <f>IF(AND(N16&gt;0,G16=0,L16=0),"X",IF(AND(N16&gt;0,G16&gt;0),"E",IF(P16="","",IF(P16=0,"S",IF(AND(P16&gt;0,NOT(G16=0)),"I",IF(AND(P16&gt;0,G16=0),"N",IF(P16&lt;0,"D","ERROR")))))))</f>
        <v>D</v>
      </c>
      <c r="R16" s="156"/>
      <c r="S16" s="69" t="s">
        <v>424</v>
      </c>
      <c r="T16" s="70" t="s">
        <v>425</v>
      </c>
      <c r="U16" s="70" t="s">
        <v>413</v>
      </c>
      <c r="V16" s="71" t="s">
        <v>414</v>
      </c>
      <c r="W16" s="72">
        <v>53406</v>
      </c>
    </row>
    <row r="17" spans="1:24" x14ac:dyDescent="0.35">
      <c r="A17" s="28" t="s">
        <v>426</v>
      </c>
      <c r="B17" s="4" t="s">
        <v>22</v>
      </c>
      <c r="C17" s="13">
        <v>7280</v>
      </c>
      <c r="D17" s="22">
        <v>7280</v>
      </c>
      <c r="E17" s="13">
        <v>5460</v>
      </c>
      <c r="F17" s="27">
        <f>IF(D17=0,E17,IF(AND(E17=0,I17="A"),D17,IF(E17&gt;D17,E17, IF(E17/D17&gt;0.73,D17,E17))))</f>
        <v>7280</v>
      </c>
      <c r="G17" s="22">
        <v>750</v>
      </c>
      <c r="H17" s="26" t="s">
        <v>46</v>
      </c>
      <c r="I17" s="13"/>
      <c r="J17" s="13"/>
      <c r="K17" s="27">
        <f>IF(H17="",0,IF(J17&gt;0,0,IF(H17="A",G17,IF(H17="M",G17*12,IF(H17="W",G17*(Lookups!$B$9+1),IF(H17="B",G17*(+Lookups!$B$10),IF(H17="S",G17*2,IF(AND(G17=0,J17&gt;0),J17,"ERROR"))))))))</f>
        <v>9000</v>
      </c>
      <c r="L17" s="22">
        <v>720</v>
      </c>
      <c r="M17" s="26" t="s">
        <v>46</v>
      </c>
      <c r="N17" s="13"/>
      <c r="O17" s="27">
        <f>IF(L17="",0,IF(N17&gt;0,0,IF(M17="A",L17,IF(M17="M",L17*12,IF(M17="W",L17*Lookups!B$9,IF(M17="B",L17*+Lookups!B$10,IF(M17="S",L17*2,IF(AND(L17=0,N17&gt;0),N17,"ERROR"))))))))</f>
        <v>8640</v>
      </c>
      <c r="P17" s="170">
        <f t="shared" si="0"/>
        <v>-360</v>
      </c>
      <c r="Q17" s="171" t="str">
        <f>IF(AND(N17&gt;0,G17=0,L17=0),"X",IF(AND(N17&gt;0,G17&gt;0),"E",IF(P17="","",IF(P17=0,"S",IF(AND(P17&gt;0,NOT(G17=0)),"I",IF(AND(P17&gt;0,G17=0),"N",IF(P17&lt;0,"D","ERROR")))))))</f>
        <v>D</v>
      </c>
      <c r="R17" s="156"/>
      <c r="S17" s="69" t="s">
        <v>427</v>
      </c>
      <c r="T17" s="70" t="s">
        <v>428</v>
      </c>
      <c r="U17" s="70" t="s">
        <v>419</v>
      </c>
      <c r="V17" s="71" t="s">
        <v>414</v>
      </c>
      <c r="W17" s="72">
        <v>53126</v>
      </c>
    </row>
    <row r="18" spans="1:24" x14ac:dyDescent="0.35">
      <c r="A18" s="28" t="s">
        <v>21</v>
      </c>
      <c r="B18" s="4" t="s">
        <v>251</v>
      </c>
      <c r="C18" s="13">
        <v>4565</v>
      </c>
      <c r="D18" s="22"/>
      <c r="E18" s="13">
        <v>2710</v>
      </c>
      <c r="F18" s="27">
        <f>IF(D18=0,E18,IF(AND(E18=0,I18="A"),D18,IF(E18&gt;D18,E18, IF(E18/D18&gt;0.73,D18,E18))))</f>
        <v>2710</v>
      </c>
      <c r="G18" s="22"/>
      <c r="H18" s="26"/>
      <c r="I18" s="13"/>
      <c r="J18" s="13">
        <v>2700</v>
      </c>
      <c r="K18" s="27">
        <f>IF(H18="",0,IF(J18&gt;0,0,IF(H18="A",G18,IF(H18="M",G18*12,IF(H18="W",G18*(Lookups!$B$9+1),IF(H18="B",G18*(+Lookups!$B$10),IF(H18="S",G18*2,IF(AND(G18=0,J18&gt;0),J18,"ERROR"))))))))</f>
        <v>0</v>
      </c>
      <c r="L18" s="22"/>
      <c r="M18" s="26"/>
      <c r="N18" s="13"/>
      <c r="O18" s="27">
        <f>IF(L18="",0,IF(N18&gt;0,0,IF(M18="A",L18,IF(M18="M",L18*12,IF(M18="W",L18*Lookups!B$9,IF(M18="B",L18*+Lookups!B$10,IF(M18="S",L18*2,IF(AND(L18=0,N18&gt;0),N18,"ERROR"))))))))</f>
        <v>0</v>
      </c>
      <c r="P18" s="170" t="str">
        <f t="shared" si="0"/>
        <v/>
      </c>
      <c r="Q18" s="171" t="str">
        <f>IF(AND(N18&gt;0,G18=0,L18=0),"X",IF(AND(N18&gt;0,G18&gt;0),"E",IF(P18="","",IF(P18=0,"S",IF(AND(P18&gt;0,NOT(G18=0)),"I",IF(AND(P18&gt;0,G18=0),"N",IF(P18&lt;0,"D","ERROR")))))))</f>
        <v/>
      </c>
      <c r="R18" s="156"/>
    </row>
    <row r="19" spans="1:24" x14ac:dyDescent="0.35">
      <c r="A19" s="143" t="s">
        <v>252</v>
      </c>
      <c r="B19" s="144" t="s">
        <v>253</v>
      </c>
      <c r="C19" s="145">
        <v>11184</v>
      </c>
      <c r="D19" s="146"/>
      <c r="E19" s="145"/>
      <c r="F19" s="147">
        <f>IF(D19=0,E19,IF(AND(E19=0,I19="A"),D19,IF(E19&gt;D19,E19, IF(E19/D19&gt;0.73,D19,E19))))</f>
        <v>0</v>
      </c>
      <c r="G19" s="146"/>
      <c r="H19" s="148"/>
      <c r="I19" s="145"/>
      <c r="J19" s="145"/>
      <c r="K19" s="147">
        <f>IF(H19="",0,IF(J19&gt;0,0,IF(H19="A",G19,IF(H19="M",G19*12,IF(H19="W",G19*(Lookups!$B$9+1),IF(H19="B",G19*(+Lookups!$B$10),IF(H19="S",G19*2,IF(AND(G19=0,J19&gt;0),J19,"ERROR"))))))))</f>
        <v>0</v>
      </c>
      <c r="L19" s="146"/>
      <c r="M19" s="148"/>
      <c r="N19" s="145"/>
      <c r="O19" s="147">
        <f>IF(L19="",0,IF(N19&gt;0,0,IF(M19="A",L19,IF(M19="M",L19*12,IF(M19="W",L19*Lookups!B$9,IF(M19="B",L19*+Lookups!B$10,IF(M19="S",L19*2,IF(AND(L19=0,N19&gt;0),N19,"ERROR"))))))))</f>
        <v>0</v>
      </c>
      <c r="P19" s="170" t="str">
        <f t="shared" si="0"/>
        <v/>
      </c>
      <c r="Q19" s="171" t="str">
        <f>IF(AND(N19&gt;0,G19=0,L19=0),"X",IF(AND(N19&gt;0,G19&gt;0),"E",IF(P19="","",IF(P19=0,"S",IF(AND(P19&gt;0,NOT(G19=0)),"I",IF(AND(P19&gt;0,G19=0),"N",IF(P19&lt;0,"D","ERROR")))))))</f>
        <v/>
      </c>
      <c r="R19" s="157"/>
      <c r="S19" s="149"/>
      <c r="T19" s="149"/>
      <c r="U19" s="149"/>
      <c r="V19" s="150"/>
      <c r="W19" s="151"/>
    </row>
    <row r="20" spans="1:24" x14ac:dyDescent="0.35">
      <c r="A20" s="28" t="s">
        <v>23</v>
      </c>
      <c r="B20" s="4" t="s">
        <v>24</v>
      </c>
      <c r="C20" s="13">
        <v>1030</v>
      </c>
      <c r="D20" s="22">
        <v>1099.8</v>
      </c>
      <c r="E20" s="13">
        <v>882</v>
      </c>
      <c r="F20" s="27">
        <f>IF(D20=0,E20,IF(AND(E20=0,I20="A"),D20,IF(E20&gt;D20,E20, IF(E20/D20&gt;0.73,D20,E20))))</f>
        <v>1099.8</v>
      </c>
      <c r="G20" s="22">
        <v>20.75</v>
      </c>
      <c r="H20" s="26" t="s">
        <v>45</v>
      </c>
      <c r="I20" s="13"/>
      <c r="J20" s="13"/>
      <c r="K20" s="27">
        <f>IF(H20="",0,IF(J20&gt;0,0,IF(H20="A",G20,IF(H20="M",G20*12,IF(H20="W",G20*(Lookups!$B$9+1),IF(H20="B",G20*(+Lookups!$B$10),IF(H20="S",G20*2,IF(AND(G20=0,J20&gt;0),J20,"ERROR"))))))))</f>
        <v>1099.75</v>
      </c>
      <c r="L20" s="22">
        <v>30</v>
      </c>
      <c r="M20" s="26" t="s">
        <v>45</v>
      </c>
      <c r="N20" s="13"/>
      <c r="O20" s="27">
        <f>IF(L20="",0,IF(N20&gt;0,0,IF(M20="A",L20,IF(M20="M",L20*12,IF(M20="W",L20*Lookups!B$9,IF(M20="B",L20*+Lookups!B$10,IF(M20="S",L20*2,IF(AND(L20=0,N20&gt;0),N20,"ERROR"))))))))</f>
        <v>1560</v>
      </c>
      <c r="P20" s="170">
        <f t="shared" si="0"/>
        <v>460</v>
      </c>
      <c r="Q20" s="171" t="str">
        <f>IF(AND(N20&gt;0,G20=0,L20=0),"X",IF(AND(N20&gt;0,G20&gt;0),"E",IF(P20="","",IF(P20=0,"S",IF(AND(P20&gt;0,NOT(G20=0)),"I",IF(AND(P20&gt;0,G20=0),"N",IF(P20&lt;0,"D","ERROR")))))))</f>
        <v>I</v>
      </c>
      <c r="R20" s="156"/>
      <c r="S20" s="69" t="s">
        <v>429</v>
      </c>
      <c r="T20" s="70" t="s">
        <v>430</v>
      </c>
      <c r="U20" s="70" t="s">
        <v>431</v>
      </c>
      <c r="V20" s="71" t="s">
        <v>414</v>
      </c>
      <c r="W20" s="72">
        <v>53108</v>
      </c>
    </row>
    <row r="21" spans="1:24" x14ac:dyDescent="0.35">
      <c r="A21" s="28" t="s">
        <v>25</v>
      </c>
      <c r="B21" s="4" t="s">
        <v>432</v>
      </c>
      <c r="C21" s="13">
        <v>2600</v>
      </c>
      <c r="D21" s="22">
        <v>2600</v>
      </c>
      <c r="E21" s="13">
        <v>1970</v>
      </c>
      <c r="F21" s="27">
        <f>IF(D21=0,E21,IF(AND(E21=0,I21="A"),D21,IF(E21&gt;D21,E21, IF(E21/D21&gt;0.73,D21,E21))))</f>
        <v>2600</v>
      </c>
      <c r="G21" s="22">
        <v>50</v>
      </c>
      <c r="H21" s="26" t="s">
        <v>45</v>
      </c>
      <c r="I21" s="13"/>
      <c r="J21" s="13"/>
      <c r="K21" s="27">
        <f>IF(H21="",0,IF(J21&gt;0,0,IF(H21="A",G21,IF(H21="M",G21*12,IF(H21="W",G21*(Lookups!$B$9+1),IF(H21="B",G21*(+Lookups!$B$10),IF(H21="S",G21*2,IF(AND(G21=0,J21&gt;0),J21,"ERROR"))))))))</f>
        <v>2650</v>
      </c>
      <c r="L21" s="22">
        <v>50</v>
      </c>
      <c r="M21" s="26" t="s">
        <v>45</v>
      </c>
      <c r="N21" s="13"/>
      <c r="O21" s="27">
        <f>IF(L21="",0,IF(N21&gt;0,0,IF(M21="A",L21,IF(M21="M",L21*12,IF(M21="W",L21*Lookups!B$9,IF(M21="B",L21*+Lookups!B$10,IF(M21="S",L21*2,IF(AND(L21=0,N21&gt;0),N21,"ERROR"))))))))</f>
        <v>2600</v>
      </c>
      <c r="P21" s="170">
        <f t="shared" si="0"/>
        <v>-50</v>
      </c>
      <c r="Q21" s="171" t="str">
        <f>IF(AND(N21&gt;0,G21=0,L21=0),"X",IF(AND(N21&gt;0,G21&gt;0),"E",IF(P21="","",IF(P21=0,"S",IF(AND(P21&gt;0,NOT(G21=0)),"I",IF(AND(P21&gt;0,G21=0),"N",IF(P21&lt;0,"D","ERROR")))))))</f>
        <v>D</v>
      </c>
      <c r="R21" s="156"/>
      <c r="T21" s="70" t="s">
        <v>433</v>
      </c>
      <c r="U21" s="70" t="s">
        <v>419</v>
      </c>
      <c r="V21" s="71" t="s">
        <v>414</v>
      </c>
      <c r="W21" s="72">
        <v>53126</v>
      </c>
      <c r="X21" s="70" t="s">
        <v>434</v>
      </c>
    </row>
    <row r="22" spans="1:24" x14ac:dyDescent="0.35">
      <c r="A22" s="28" t="s">
        <v>28</v>
      </c>
      <c r="B22" s="4" t="s">
        <v>29</v>
      </c>
      <c r="C22" s="13">
        <v>1200</v>
      </c>
      <c r="D22" s="22">
        <v>2400</v>
      </c>
      <c r="E22" s="13">
        <v>1600</v>
      </c>
      <c r="F22" s="27">
        <f>IF(D22=0,E22,IF(AND(E22=0,I22="A"),D22,IF(E22&gt;D22,E22, IF(E22/D22&gt;0.73,D22,E22))))</f>
        <v>1600</v>
      </c>
      <c r="G22" s="22">
        <v>100</v>
      </c>
      <c r="H22" s="26" t="s">
        <v>46</v>
      </c>
      <c r="I22" s="13"/>
      <c r="J22" s="13"/>
      <c r="K22" s="27">
        <f>IF(H22="",0,IF(J22&gt;0,0,IF(H22="A",G22,IF(H22="M",G22*12,IF(H22="W",G22*(Lookups!$B$9+1),IF(H22="B",G22*(+Lookups!$B$10),IF(H22="S",G22*2,IF(AND(G22=0,J22&gt;0),J22,"ERROR"))))))))</f>
        <v>1200</v>
      </c>
      <c r="L22" s="22"/>
      <c r="M22" s="26"/>
      <c r="N22" s="13"/>
      <c r="O22" s="27">
        <f>IF(L22="",0,IF(N22&gt;0,0,IF(M22="A",L22,IF(M22="M",L22*12,IF(M22="W",L22*Lookups!B$9,IF(M22="B",L22*+Lookups!B$10,IF(M22="S",L22*2,IF(AND(L22=0,N22&gt;0),N22,"ERROR"))))))))</f>
        <v>0</v>
      </c>
      <c r="P22" s="170">
        <f t="shared" si="0"/>
        <v>-1200</v>
      </c>
      <c r="Q22" s="171" t="str">
        <f>IF(AND(N22&gt;0,G22=0,L22=0),"X",IF(AND(N22&gt;0,G22&gt;0),"E",IF(P22="","",IF(P22=0,"S",IF(AND(P22&gt;0,NOT(G22=0)),"I",IF(AND(P22&gt;0,G22=0),"N",IF(P22&lt;0,"D","ERROR")))))))</f>
        <v>D</v>
      </c>
      <c r="R22" s="156"/>
    </row>
    <row r="23" spans="1:24" x14ac:dyDescent="0.35">
      <c r="A23" s="28" t="s">
        <v>32</v>
      </c>
      <c r="B23" s="4" t="s">
        <v>33</v>
      </c>
      <c r="C23" s="13">
        <v>900</v>
      </c>
      <c r="D23" s="22">
        <v>1000</v>
      </c>
      <c r="E23" s="13">
        <v>750</v>
      </c>
      <c r="F23" s="27">
        <f>IF(D23=0,E23,IF(AND(E23=0,I23="A"),D23,IF(E23&gt;D23,E23, IF(E23/D23&gt;0.73,D23,E23))))</f>
        <v>1000</v>
      </c>
      <c r="G23" s="22"/>
      <c r="H23" s="26" t="s">
        <v>42</v>
      </c>
      <c r="I23" s="13"/>
      <c r="J23" s="13">
        <v>1000</v>
      </c>
      <c r="K23" s="27">
        <f>IF(H23="",0,IF(J23&gt;0,0,IF(H23="A",G23,IF(H23="M",G23*12,IF(H23="W",G23*(Lookups!$B$9+1),IF(H23="B",G23*(+Lookups!$B$10),IF(H23="S",G23*2,IF(AND(G23=0,J23&gt;0),J23,"ERROR"))))))))</f>
        <v>0</v>
      </c>
      <c r="L23" s="22"/>
      <c r="M23" s="26"/>
      <c r="N23" s="13"/>
      <c r="O23" s="27">
        <f>IF(L23="",0,IF(N23&gt;0,0,IF(M23="A",L23,IF(M23="M",L23*12,IF(M23="W",L23*Lookups!B$9,IF(M23="B",L23*+Lookups!B$10,IF(M23="S",L23*2,IF(AND(L23=0,N23&gt;0),N23,"ERROR"))))))))</f>
        <v>0</v>
      </c>
      <c r="P23" s="170" t="str">
        <f t="shared" si="0"/>
        <v/>
      </c>
      <c r="Q23" s="171" t="str">
        <f>IF(AND(N23&gt;0,G23=0,L23=0),"X",IF(AND(N23&gt;0,G23&gt;0),"E",IF(P23="","",IF(P23=0,"S",IF(AND(P23&gt;0,NOT(G23=0)),"I",IF(AND(P23&gt;0,G23=0),"N",IF(P23&lt;0,"D","ERROR")))))))</f>
        <v/>
      </c>
      <c r="R23" s="156"/>
    </row>
    <row r="24" spans="1:24" x14ac:dyDescent="0.35">
      <c r="A24" s="28" t="s">
        <v>254</v>
      </c>
      <c r="B24" s="4" t="s">
        <v>255</v>
      </c>
      <c r="C24" s="13">
        <v>5</v>
      </c>
      <c r="D24" s="22"/>
      <c r="E24" s="13">
        <v>14</v>
      </c>
      <c r="F24" s="27">
        <f>IF(D24=0,E24,IF(AND(E24=0,I24="A"),D24,IF(E24&gt;D24,E24, IF(E24/D24&gt;0.73,D24,E24))))</f>
        <v>14</v>
      </c>
      <c r="G24" s="22">
        <v>10</v>
      </c>
      <c r="H24" s="26" t="s">
        <v>46</v>
      </c>
      <c r="I24" s="13"/>
      <c r="J24" s="13"/>
      <c r="K24" s="27">
        <f>IF(H24="",0,IF(J24&gt;0,0,IF(H24="A",G24,IF(H24="M",G24*12,IF(H24="W",G24*(Lookups!$B$9+1),IF(H24="B",G24*(+Lookups!$B$10),IF(H24="S",G24*2,IF(AND(G24=0,J24&gt;0),J24,"ERROR"))))))))</f>
        <v>120</v>
      </c>
      <c r="L24" s="22">
        <v>5</v>
      </c>
      <c r="M24" s="26" t="s">
        <v>45</v>
      </c>
      <c r="N24" s="13"/>
      <c r="O24" s="27">
        <f>IF(L24="",0,IF(N24&gt;0,0,IF(M24="A",L24,IF(M24="M",L24*12,IF(M24="W",L24*Lookups!B$9,IF(M24="B",L24*+Lookups!B$10,IF(M24="S",L24*2,IF(AND(L24=0,N24&gt;0),N24,"ERROR"))))))))</f>
        <v>260</v>
      </c>
      <c r="P24" s="170">
        <f t="shared" si="0"/>
        <v>140</v>
      </c>
      <c r="Q24" s="171" t="str">
        <f>IF(AND(N24&gt;0,G24=0,L24=0),"X",IF(AND(N24&gt;0,G24&gt;0),"E",IF(P24="","",IF(P24=0,"S",IF(AND(P24&gt;0,NOT(G24=0)),"I",IF(AND(P24&gt;0,G24=0),"N",IF(P24&lt;0,"D","ERROR")))))))</f>
        <v>I</v>
      </c>
      <c r="R24" s="156"/>
      <c r="S24" s="69" t="s">
        <v>547</v>
      </c>
      <c r="T24" s="70" t="s">
        <v>548</v>
      </c>
      <c r="U24" s="70" t="s">
        <v>549</v>
      </c>
      <c r="V24" s="71" t="s">
        <v>414</v>
      </c>
      <c r="W24" s="72">
        <v>53144</v>
      </c>
    </row>
    <row r="25" spans="1:24" x14ac:dyDescent="0.35">
      <c r="A25" s="28" t="s">
        <v>254</v>
      </c>
      <c r="B25" s="4" t="s">
        <v>376</v>
      </c>
      <c r="C25" s="13"/>
      <c r="D25" s="22"/>
      <c r="E25" s="13">
        <v>10</v>
      </c>
      <c r="F25" s="27">
        <f>IF(D25=0,E25,IF(AND(E25=0,I25="A"),D25,IF(E25&gt;D25,E25, IF(E25/D25&gt;0.73,D25,E25))))</f>
        <v>10</v>
      </c>
      <c r="G25" s="22"/>
      <c r="H25" s="26"/>
      <c r="I25" s="13"/>
      <c r="J25" s="13"/>
      <c r="K25" s="27">
        <f>IF(H25="",0,IF(J25&gt;0,0,IF(H25="A",G25,IF(H25="M",G25*12,IF(H25="W",G25*(Lookups!$B$9+1),IF(H25="B",G25*(+Lookups!$B$10),IF(H25="S",G25*2,IF(AND(G25=0,J25&gt;0),J25,"ERROR"))))))))</f>
        <v>0</v>
      </c>
      <c r="L25" s="22"/>
      <c r="M25" s="26"/>
      <c r="N25" s="13"/>
      <c r="O25" s="27">
        <f>IF(L25="",0,IF(N25&gt;0,0,IF(M25="A",L25,IF(M25="M",L25*12,IF(M25="W",L25*Lookups!B$9,IF(M25="B",L25*+Lookups!B$10,IF(M25="S",L25*2,IF(AND(L25=0,N25&gt;0),N25,"ERROR"))))))))</f>
        <v>0</v>
      </c>
      <c r="P25" s="170" t="str">
        <f t="shared" si="0"/>
        <v/>
      </c>
      <c r="Q25" s="171" t="str">
        <f>IF(AND(N25&gt;0,G25=0,L25=0),"X",IF(AND(N25&gt;0,G25&gt;0),"E",IF(P25="","",IF(P25=0,"S",IF(AND(P25&gt;0,NOT(G25=0)),"I",IF(AND(P25&gt;0,G25=0),"N",IF(P25&lt;0,"D","ERROR")))))))</f>
        <v/>
      </c>
      <c r="R25" s="156"/>
    </row>
    <row r="26" spans="1:24" x14ac:dyDescent="0.35">
      <c r="A26" s="28" t="s">
        <v>73</v>
      </c>
      <c r="B26" s="4" t="s">
        <v>27</v>
      </c>
      <c r="C26" s="13">
        <v>650</v>
      </c>
      <c r="D26" s="22">
        <v>750</v>
      </c>
      <c r="E26" s="13">
        <v>150</v>
      </c>
      <c r="F26" s="27">
        <f>IF(D26=0,E26,IF(AND(E26=0,I26="A"),D26,IF(E26&gt;D26,E26, IF(E26/D26&gt;0.73,D26,E26))))</f>
        <v>150</v>
      </c>
      <c r="G26" s="22"/>
      <c r="H26" s="26" t="s">
        <v>46</v>
      </c>
      <c r="I26" s="13"/>
      <c r="J26" s="13">
        <v>0</v>
      </c>
      <c r="K26" s="27">
        <f>IF(H26="",0,IF(J26&gt;0,0,IF(H26="A",G26,IF(H26="M",G26*12,IF(H26="W",G26*(Lookups!$B$9+1),IF(H26="B",G26*(+Lookups!$B$10),IF(H26="S",G26*2,IF(AND(G26=0,J26&gt;0),J26,"ERROR"))))))))</f>
        <v>0</v>
      </c>
      <c r="L26" s="22"/>
      <c r="M26" s="26"/>
      <c r="N26" s="13"/>
      <c r="O26" s="27">
        <f>IF(L26="",0,IF(N26&gt;0,0,IF(M26="A",L26,IF(M26="M",L26*12,IF(M26="W",L26*Lookups!B$9,IF(M26="B",L26*+Lookups!B$10,IF(M26="S",L26*2,IF(AND(L26=0,N26&gt;0),N26,"ERROR"))))))))</f>
        <v>0</v>
      </c>
      <c r="P26" s="170" t="str">
        <f t="shared" si="0"/>
        <v/>
      </c>
      <c r="Q26" s="171" t="str">
        <f>IF(AND(N26&gt;0,G26=0,L26=0),"X",IF(AND(N26&gt;0,G26&gt;0),"E",IF(P26="","",IF(P26=0,"S",IF(AND(P26&gt;0,NOT(G26=0)),"I",IF(AND(P26&gt;0,G26=0),"N",IF(P26&lt;0,"D","ERROR")))))))</f>
        <v/>
      </c>
      <c r="R26" s="156"/>
    </row>
    <row r="27" spans="1:24" x14ac:dyDescent="0.35">
      <c r="A27" s="28" t="s">
        <v>30</v>
      </c>
      <c r="B27" s="4" t="s">
        <v>31</v>
      </c>
      <c r="C27" s="13">
        <v>3525</v>
      </c>
      <c r="D27" s="22">
        <v>4160</v>
      </c>
      <c r="E27" s="13">
        <v>2240</v>
      </c>
      <c r="F27" s="27">
        <f>IF(D27=0,E27,IF(AND(E27=0,I27="A"),D27,IF(E27&gt;D27,E27, IF(E27/D27&gt;0.73,D27,E27))))</f>
        <v>2240</v>
      </c>
      <c r="G27" s="22">
        <v>80</v>
      </c>
      <c r="H27" s="26" t="s">
        <v>45</v>
      </c>
      <c r="I27" s="13"/>
      <c r="J27" s="13"/>
      <c r="K27" s="27">
        <f>IF(H27="",0,IF(J27&gt;0,0,IF(H27="A",G27,IF(H27="M",G27*12,IF(H27="W",G27*(Lookups!$B$9+1),IF(H27="B",G27*(+Lookups!$B$10),IF(H27="S",G27*2,IF(AND(G27=0,J27&gt;0),J27,"ERROR"))))))))</f>
        <v>4240</v>
      </c>
      <c r="L27" s="22">
        <v>80</v>
      </c>
      <c r="M27" s="26" t="s">
        <v>45</v>
      </c>
      <c r="N27" s="13"/>
      <c r="O27" s="27">
        <f>IF(L27="",0,IF(N27&gt;0,0,IF(M27="A",L27,IF(M27="M",L27*12,IF(M27="W",L27*Lookups!B$9,IF(M27="B",L27*+Lookups!B$10,IF(M27="S",L27*2,IF(AND(L27=0,N27&gt;0),N27,"ERROR"))))))))</f>
        <v>4160</v>
      </c>
      <c r="P27" s="170">
        <f t="shared" si="0"/>
        <v>-80</v>
      </c>
      <c r="Q27" s="171" t="str">
        <f>IF(AND(N27&gt;0,G27=0,L27=0),"X",IF(AND(N27&gt;0,G27&gt;0),"E",IF(P27="","",IF(P27=0,"S",IF(AND(P27&gt;0,NOT(G27=0)),"I",IF(AND(P27&gt;0,G27=0),"N",IF(P27&lt;0,"D","ERROR")))))))</f>
        <v>D</v>
      </c>
      <c r="R27" s="156"/>
      <c r="S27" s="69" t="s">
        <v>550</v>
      </c>
      <c r="T27" s="70" t="s">
        <v>551</v>
      </c>
      <c r="U27" s="70" t="s">
        <v>413</v>
      </c>
      <c r="V27" s="71" t="s">
        <v>414</v>
      </c>
      <c r="W27" s="72">
        <v>53406</v>
      </c>
    </row>
    <row r="28" spans="1:24" ht="14.5" customHeight="1" x14ac:dyDescent="0.35">
      <c r="A28" s="28" t="s">
        <v>30</v>
      </c>
      <c r="B28" s="4" t="s">
        <v>377</v>
      </c>
      <c r="C28" s="13"/>
      <c r="D28" s="22"/>
      <c r="E28" s="13">
        <v>20</v>
      </c>
      <c r="F28" s="27">
        <f>IF(D28=0,E28,IF(AND(E28=0,I28="A"),D28,IF(E28&gt;D28,E28, IF(E28/D28&gt;0.73,D28,E28))))</f>
        <v>20</v>
      </c>
      <c r="G28" s="22"/>
      <c r="H28" s="26"/>
      <c r="I28" s="13"/>
      <c r="J28" s="13"/>
      <c r="K28" s="27">
        <f>IF(H28="",0,IF(J28&gt;0,0,IF(H28="A",G28,IF(H28="M",G28*12,IF(H28="W",G28*(Lookups!$B$9+1),IF(H28="B",G28*(+Lookups!$B$10),IF(H28="S",G28*2,IF(AND(G28=0,J28&gt;0),J28,"ERROR"))))))))</f>
        <v>0</v>
      </c>
      <c r="L28" s="22"/>
      <c r="M28" s="26"/>
      <c r="N28" s="13"/>
      <c r="O28" s="27">
        <f>IF(L28="",0,IF(N28&gt;0,0,IF(M28="A",L28,IF(M28="M",L28*12,IF(M28="W",L28*Lookups!B$9,IF(M28="B",L28*+Lookups!B$10,IF(M28="S",L28*2,IF(AND(L28=0,N28&gt;0),N28,"ERROR"))))))))</f>
        <v>0</v>
      </c>
      <c r="P28" s="170" t="str">
        <f t="shared" si="0"/>
        <v/>
      </c>
      <c r="Q28" s="171" t="str">
        <f>IF(AND(N28&gt;0,G28=0,L28=0),"X",IF(AND(N28&gt;0,G28&gt;0),"E",IF(P28="","",IF(P28=0,"S",IF(AND(P28&gt;0,NOT(G28=0)),"I",IF(AND(P28&gt;0,G28=0),"N",IF(P28&lt;0,"D","ERROR")))))))</f>
        <v/>
      </c>
      <c r="R28" s="156"/>
    </row>
    <row r="29" spans="1:24" x14ac:dyDescent="0.35">
      <c r="A29" s="28" t="s">
        <v>74</v>
      </c>
      <c r="B29" s="4" t="s">
        <v>75</v>
      </c>
      <c r="C29" s="13">
        <v>1080</v>
      </c>
      <c r="D29" s="22">
        <v>1080</v>
      </c>
      <c r="E29" s="13">
        <v>810</v>
      </c>
      <c r="F29" s="27">
        <f>IF(D29=0,E29,IF(AND(E29=0,I29="A"),D29,IF(E29&gt;D29,E29, IF(E29/D29&gt;0.73,D29,E29))))</f>
        <v>1080</v>
      </c>
      <c r="G29" s="22">
        <v>90</v>
      </c>
      <c r="H29" s="26" t="s">
        <v>46</v>
      </c>
      <c r="I29" s="13"/>
      <c r="J29" s="13"/>
      <c r="K29" s="27">
        <f>IF(H29="",0,IF(J29&gt;0,0,IF(H29="A",G29,IF(H29="M",G29*12,IF(H29="W",G29*(Lookups!$B$9+1),IF(H29="B",G29*(+Lookups!$B$10),IF(H29="S",G29*2,IF(AND(G29=0,J29&gt;0),J29,"ERROR"))))))))</f>
        <v>1080</v>
      </c>
      <c r="L29" s="22">
        <v>100</v>
      </c>
      <c r="M29" s="26" t="s">
        <v>46</v>
      </c>
      <c r="N29" s="13"/>
      <c r="O29" s="27">
        <f>IF(L29="",0,IF(N29&gt;0,0,IF(M29="A",L29,IF(M29="M",L29*12,IF(M29="W",L29*Lookups!B$9,IF(M29="B",L29*+Lookups!B$10,IF(M29="S",L29*2,IF(AND(L29=0,N29&gt;0),N29,"ERROR"))))))))</f>
        <v>1200</v>
      </c>
      <c r="P29" s="170">
        <f t="shared" si="0"/>
        <v>120</v>
      </c>
      <c r="Q29" s="171" t="str">
        <f>IF(AND(N29&gt;0,G29=0,L29=0),"X",IF(AND(N29&gt;0,G29&gt;0),"E",IF(P29="","",IF(P29=0,"S",IF(AND(P29&gt;0,NOT(G29=0)),"I",IF(AND(P29&gt;0,G29=0),"N",IF(P29&lt;0,"D","ERROR")))))))</f>
        <v>I</v>
      </c>
      <c r="R29" s="156"/>
      <c r="S29" s="69" t="s">
        <v>435</v>
      </c>
      <c r="T29" s="70" t="s">
        <v>436</v>
      </c>
      <c r="U29" s="70" t="s">
        <v>437</v>
      </c>
      <c r="V29" s="71" t="s">
        <v>414</v>
      </c>
      <c r="W29" s="72">
        <v>53402</v>
      </c>
    </row>
    <row r="30" spans="1:24" x14ac:dyDescent="0.35">
      <c r="A30" s="87" t="s">
        <v>34</v>
      </c>
      <c r="B30" s="88" t="s">
        <v>35</v>
      </c>
      <c r="C30" s="89">
        <v>750</v>
      </c>
      <c r="D30" s="90">
        <v>1200</v>
      </c>
      <c r="E30" s="89">
        <v>500</v>
      </c>
      <c r="F30" s="91">
        <f>IF(D30=0,E30,IF(AND(E30=0,I30="A"),D30,IF(E30&gt;D30,E30, IF(E30/D30&gt;0.73,D30,E30))))</f>
        <v>500</v>
      </c>
      <c r="G30" s="90">
        <v>100</v>
      </c>
      <c r="H30" s="92" t="s">
        <v>46</v>
      </c>
      <c r="I30" s="89"/>
      <c r="J30" s="89"/>
      <c r="K30" s="27">
        <f>IF(H30="",0,IF(J30&gt;0,0,IF(H30="A",G30,IF(H30="M",G30*12,IF(H30="W",G30*(Lookups!$B$9+1),IF(H30="B",G30*(+Lookups!$B$10),IF(H30="S",G30*2,IF(AND(G30=0,J30&gt;0),J30,"ERROR"))))))))</f>
        <v>1200</v>
      </c>
      <c r="L30" s="90"/>
      <c r="M30" s="92"/>
      <c r="N30" s="89"/>
      <c r="O30" s="27">
        <f>IF(L30="",0,IF(N30&gt;0,0,IF(M30="A",L30,IF(M30="M",L30*12,IF(M30="W",L30*Lookups!B$9,IF(M30="B",L30*+Lookups!B$10,IF(M30="S",L30*2,IF(AND(L30=0,N30&gt;0),N30,"ERROR"))))))))</f>
        <v>0</v>
      </c>
      <c r="P30" s="170">
        <f t="shared" si="0"/>
        <v>-1200</v>
      </c>
      <c r="Q30" s="171" t="str">
        <f>IF(AND(N30&gt;0,G30=0,L30=0),"X",IF(AND(N30&gt;0,G30&gt;0),"E",IF(P30="","",IF(P30=0,"S",IF(AND(P30&gt;0,NOT(G30=0)),"I",IF(AND(P30&gt;0,G30=0),"N",IF(P30&lt;0,"D","ERROR")))))))</f>
        <v>D</v>
      </c>
      <c r="R30" s="158"/>
      <c r="S30" s="93"/>
      <c r="T30" s="93"/>
      <c r="U30" s="93"/>
      <c r="V30" s="94"/>
      <c r="W30" s="95"/>
      <c r="X30" s="70"/>
    </row>
    <row r="31" spans="1:24" x14ac:dyDescent="0.35">
      <c r="A31" s="28" t="s">
        <v>36</v>
      </c>
      <c r="B31" s="4" t="s">
        <v>37</v>
      </c>
      <c r="C31" s="13">
        <v>600</v>
      </c>
      <c r="D31" s="22">
        <v>600</v>
      </c>
      <c r="E31" s="13">
        <v>650</v>
      </c>
      <c r="F31" s="27">
        <f>IF(D31=0,E31,IF(AND(E31=0,I31="A"),D31,IF(E31&gt;D31,E31, IF(E31/D31&gt;0.73,D31,E31))))</f>
        <v>650</v>
      </c>
      <c r="G31" s="22">
        <v>50</v>
      </c>
      <c r="H31" s="26" t="s">
        <v>46</v>
      </c>
      <c r="I31" s="13"/>
      <c r="J31" s="13"/>
      <c r="K31" s="27">
        <f>IF(H31="",0,IF(J31&gt;0,0,IF(H31="A",G31,IF(H31="M",G31*12,IF(H31="W",G31*(Lookups!$B$9+1),IF(H31="B",G31*(+Lookups!$B$10),IF(H31="S",G31*2,IF(AND(G31=0,J31&gt;0),J31,"ERROR"))))))))</f>
        <v>600</v>
      </c>
      <c r="L31" s="22">
        <v>50</v>
      </c>
      <c r="M31" s="26" t="s">
        <v>46</v>
      </c>
      <c r="N31" s="13"/>
      <c r="O31" s="27">
        <f>IF(L31="",0,IF(N31&gt;0,0,IF(M31="A",L31,IF(M31="M",L31*12,IF(M31="W",L31*Lookups!B$9,IF(M31="B",L31*+Lookups!B$10,IF(M31="S",L31*2,IF(AND(L31=0,N31&gt;0),N31,"ERROR"))))))))</f>
        <v>600</v>
      </c>
      <c r="P31" s="170">
        <f t="shared" si="0"/>
        <v>0</v>
      </c>
      <c r="Q31" s="171" t="str">
        <f>IF(AND(N31&gt;0,G31=0,L31=0),"X",IF(AND(N31&gt;0,G31&gt;0),"E",IF(P31="","",IF(P31=0,"S",IF(AND(P31&gt;0,NOT(G31=0)),"I",IF(AND(P31&gt;0,G31=0),"N",IF(P31&lt;0,"D","ERROR")))))))</f>
        <v>S</v>
      </c>
      <c r="R31" s="156"/>
      <c r="S31" s="69" t="s">
        <v>438</v>
      </c>
      <c r="T31" s="70" t="s">
        <v>552</v>
      </c>
      <c r="U31" s="70" t="s">
        <v>439</v>
      </c>
      <c r="V31" s="71" t="s">
        <v>414</v>
      </c>
      <c r="W31" s="72">
        <v>53182</v>
      </c>
    </row>
    <row r="32" spans="1:24" x14ac:dyDescent="0.35">
      <c r="A32" s="28" t="s">
        <v>36</v>
      </c>
      <c r="B32" s="4" t="s">
        <v>38</v>
      </c>
      <c r="C32" s="13">
        <v>300</v>
      </c>
      <c r="D32" s="22">
        <v>300</v>
      </c>
      <c r="E32" s="13">
        <v>250</v>
      </c>
      <c r="F32" s="27">
        <f>IF(D32=0,E32,IF(AND(E32=0,I32="A"),D32,IF(E32&gt;D32,E32, IF(E32/D32&gt;0.73,D32,E32))))</f>
        <v>300</v>
      </c>
      <c r="G32" s="22">
        <v>25</v>
      </c>
      <c r="H32" s="26" t="s">
        <v>46</v>
      </c>
      <c r="I32" s="13"/>
      <c r="J32" s="13"/>
      <c r="K32" s="27">
        <f>IF(H32="",0,IF(J32&gt;0,0,IF(H32="A",G32,IF(H32="M",G32*12,IF(H32="W",G32*(Lookups!$B$9+1),IF(H32="B",G32*(+Lookups!$B$10),IF(H32="S",G32*2,IF(AND(G32=0,J32&gt;0),J32,"ERROR"))))))))</f>
        <v>300</v>
      </c>
      <c r="L32" s="22">
        <v>25</v>
      </c>
      <c r="M32" s="26" t="s">
        <v>46</v>
      </c>
      <c r="N32" s="13"/>
      <c r="O32" s="27">
        <f>IF(L32="",0,IF(N32&gt;0,0,IF(M32="A",L32,IF(M32="M",L32*12,IF(M32="W",L32*Lookups!B$9,IF(M32="B",L32*+Lookups!B$10,IF(M32="S",L32*2,IF(AND(L32=0,N32&gt;0),N32,"ERROR"))))))))</f>
        <v>300</v>
      </c>
      <c r="P32" s="170">
        <f t="shared" si="0"/>
        <v>0</v>
      </c>
      <c r="Q32" s="171" t="str">
        <f>IF(AND(N32&gt;0,G32=0,L32=0),"X",IF(AND(N32&gt;0,G32&gt;0),"E",IF(P32="","",IF(P32=0,"S",IF(AND(P32&gt;0,NOT(G32=0)),"I",IF(AND(P32&gt;0,G32=0),"N",IF(P32&lt;0,"D","ERROR")))))))</f>
        <v>S</v>
      </c>
      <c r="R32" s="156"/>
      <c r="T32" s="70" t="s">
        <v>553</v>
      </c>
      <c r="U32" s="70" t="s">
        <v>549</v>
      </c>
      <c r="V32" s="71" t="s">
        <v>414</v>
      </c>
      <c r="W32" s="72">
        <v>53144</v>
      </c>
    </row>
    <row r="33" spans="1:23" x14ac:dyDescent="0.35">
      <c r="A33" s="28" t="s">
        <v>530</v>
      </c>
      <c r="B33" s="4" t="s">
        <v>531</v>
      </c>
      <c r="C33" s="13"/>
      <c r="D33" s="22"/>
      <c r="E33" s="13"/>
      <c r="F33" s="27">
        <f>IF(D33=0,E33,IF(AND(E33=0,I33="A"),D33,IF(E33&gt;D33,E33, IF(E33/D33&gt;0.73,D33,E33))))</f>
        <v>0</v>
      </c>
      <c r="G33" s="22">
        <v>200</v>
      </c>
      <c r="H33" s="26" t="s">
        <v>46</v>
      </c>
      <c r="I33" s="13"/>
      <c r="J33" s="13"/>
      <c r="K33" s="27">
        <f>IF(H33="",0,IF(J33&gt;0,0,IF(H33="A",G33,IF(H33="M",G33*12,IF(H33="W",G33*(Lookups!$B$9+1),IF(H33="B",G33*(+Lookups!$B$10),IF(H33="S",G33*2,IF(AND(G33=0,J33&gt;0),J33,"ERROR"))))))))</f>
        <v>2400</v>
      </c>
      <c r="L33" s="22">
        <v>200</v>
      </c>
      <c r="M33" s="26" t="s">
        <v>46</v>
      </c>
      <c r="N33" s="13"/>
      <c r="O33" s="27">
        <f>IF(L33="",0,IF(N33&gt;0,0,IF(M33="A",L33,IF(M33="M",L33*12,IF(M33="W",L33*Lookups!B$9,IF(M33="B",L33*+Lookups!B$10,IF(M33="S",L33*2,IF(AND(L33=0,N33&gt;0),N33,"ERROR"))))))))</f>
        <v>2400</v>
      </c>
      <c r="P33" s="170">
        <f t="shared" si="0"/>
        <v>0</v>
      </c>
      <c r="Q33" s="171" t="str">
        <f>IF(AND(N33&gt;0,G33=0,L33=0),"X",IF(AND(N33&gt;0,G33&gt;0),"E",IF(P33="","",IF(P33=0,"S",IF(AND(P33&gt;0,NOT(G33=0)),"I",IF(AND(P33&gt;0,G33=0),"N",IF(P33&lt;0,"D","ERROR")))))))</f>
        <v>S</v>
      </c>
      <c r="R33" s="156"/>
      <c r="S33" s="69" t="s">
        <v>554</v>
      </c>
      <c r="T33" s="70" t="s">
        <v>555</v>
      </c>
      <c r="U33" s="70" t="s">
        <v>556</v>
      </c>
      <c r="V33" s="71" t="s">
        <v>414</v>
      </c>
      <c r="W33" s="72">
        <v>53402</v>
      </c>
    </row>
    <row r="34" spans="1:23" x14ac:dyDescent="0.35">
      <c r="A34" s="28" t="s">
        <v>39</v>
      </c>
      <c r="B34" s="4" t="s">
        <v>40</v>
      </c>
      <c r="C34" s="13">
        <v>0</v>
      </c>
      <c r="D34" s="22">
        <v>500</v>
      </c>
      <c r="E34" s="13"/>
      <c r="F34" s="139">
        <v>500</v>
      </c>
      <c r="G34" s="22">
        <v>500</v>
      </c>
      <c r="H34" s="26" t="s">
        <v>42</v>
      </c>
      <c r="I34" s="13"/>
      <c r="J34" s="13"/>
      <c r="K34" s="27">
        <f>IF(H34="",0,IF(J34&gt;0,0,IF(H34="A",G34,IF(H34="M",G34*12,IF(H34="W",G34*(Lookups!$B$9+1),IF(H34="B",G34*(+Lookups!$B$10),IF(H34="S",G34*2,IF(AND(G34=0,J34&gt;0),J34,"ERROR"))))))))</f>
        <v>500</v>
      </c>
      <c r="L34" s="22"/>
      <c r="M34" s="26"/>
      <c r="N34" s="13"/>
      <c r="O34" s="27">
        <f>IF(L34="",0,IF(N34&gt;0,0,IF(M34="A",L34,IF(M34="M",L34*12,IF(M34="W",L34*Lookups!B$9,IF(M34="B",L34*+Lookups!B$10,IF(M34="S",L34*2,IF(AND(L34=0,N34&gt;0),N34,"ERROR"))))))))</f>
        <v>0</v>
      </c>
      <c r="P34" s="170">
        <f t="shared" si="0"/>
        <v>-500</v>
      </c>
      <c r="Q34" s="171" t="str">
        <f>IF(AND(N34&gt;0,G34=0,L34=0),"X",IF(AND(N34&gt;0,G34&gt;0),"E",IF(P34="","",IF(P34=0,"S",IF(AND(P34&gt;0,NOT(G34=0)),"I",IF(AND(P34&gt;0,G34=0),"N",IF(P34&lt;0,"D","ERROR")))))))</f>
        <v>D</v>
      </c>
      <c r="R34" s="156"/>
    </row>
    <row r="35" spans="1:23" x14ac:dyDescent="0.35">
      <c r="A35" s="28" t="s">
        <v>378</v>
      </c>
      <c r="B35" s="4" t="s">
        <v>379</v>
      </c>
      <c r="C35" s="13"/>
      <c r="D35" s="22"/>
      <c r="E35" s="13">
        <v>20</v>
      </c>
      <c r="F35" s="27">
        <f>IF(D35=0,E35,IF(AND(E35=0,I35="A"),D35,IF(E35&gt;D35,E35, IF(E35/D35&gt;0.73,D35,E35))))</f>
        <v>20</v>
      </c>
      <c r="G35" s="22"/>
      <c r="H35" s="26"/>
      <c r="I35" s="13"/>
      <c r="J35" s="13"/>
      <c r="K35" s="27">
        <f>IF(H35="",0,IF(J35&gt;0,0,IF(H35="A",G35,IF(H35="M",G35*12,IF(H35="W",G35*(Lookups!$B$9+1),IF(H35="B",G35*(+Lookups!$B$10),IF(H35="S",G35*2,IF(AND(G35=0,J35&gt;0),J35,"ERROR"))))))))</f>
        <v>0</v>
      </c>
      <c r="L35" s="22"/>
      <c r="M35" s="26"/>
      <c r="N35" s="13"/>
      <c r="O35" s="27">
        <f>IF(L35="",0,IF(N35&gt;0,0,IF(M35="A",L35,IF(M35="M",L35*12,IF(M35="W",L35*Lookups!B$9,IF(M35="B",L35*+Lookups!B$10,IF(M35="S",L35*2,IF(AND(L35=0,N35&gt;0),N35,"ERROR"))))))))</f>
        <v>0</v>
      </c>
      <c r="P35" s="170" t="str">
        <f t="shared" si="0"/>
        <v/>
      </c>
      <c r="Q35" s="171" t="str">
        <f>IF(AND(N35&gt;0,G35=0,L35=0),"X",IF(AND(N35&gt;0,G35&gt;0),"E",IF(P35="","",IF(P35=0,"S",IF(AND(P35&gt;0,NOT(G35=0)),"I",IF(AND(P35&gt;0,G35=0),"N",IF(P35&lt;0,"D","ERROR")))))))</f>
        <v/>
      </c>
      <c r="R35" s="156"/>
    </row>
    <row r="36" spans="1:23" x14ac:dyDescent="0.35">
      <c r="A36" s="28" t="s">
        <v>257</v>
      </c>
      <c r="B36" s="4" t="s">
        <v>256</v>
      </c>
      <c r="C36" s="13">
        <v>1380</v>
      </c>
      <c r="D36" s="22"/>
      <c r="E36" s="13">
        <v>1035</v>
      </c>
      <c r="F36" s="27">
        <f>IF(D36=0,E36,IF(AND(E36=0,I36="A"),D36,IF(E36&gt;D36,E36, IF(E36/D36&gt;0.73,D36,E36))))</f>
        <v>1035</v>
      </c>
      <c r="G36" s="22">
        <v>120</v>
      </c>
      <c r="H36" s="26" t="s">
        <v>46</v>
      </c>
      <c r="I36" s="13"/>
      <c r="J36" s="13"/>
      <c r="K36" s="27">
        <f>IF(H36="",0,IF(J36&gt;0,0,IF(H36="A",G36,IF(H36="M",G36*12,IF(H36="W",G36*(Lookups!$B$9+1),IF(H36="B",G36*(+Lookups!$B$10),IF(H36="S",G36*2,IF(AND(G36=0,J36&gt;0),J36,"ERROR"))))))))</f>
        <v>1440</v>
      </c>
      <c r="L36" s="22"/>
      <c r="M36" s="26"/>
      <c r="N36" s="13"/>
      <c r="O36" s="27">
        <f>IF(L36="",0,IF(N36&gt;0,0,IF(M36="A",L36,IF(M36="M",L36*12,IF(M36="W",L36*Lookups!B$9,IF(M36="B",L36*+Lookups!B$10,IF(M36="S",L36*2,IF(AND(L36=0,N36&gt;0),N36,"ERROR"))))))))</f>
        <v>0</v>
      </c>
      <c r="P36" s="170">
        <f t="shared" si="0"/>
        <v>-1440</v>
      </c>
      <c r="Q36" s="171" t="str">
        <f>IF(AND(N36&gt;0,G36=0,L36=0),"X",IF(AND(N36&gt;0,G36&gt;0),"E",IF(P36="","",IF(P36=0,"S",IF(AND(P36&gt;0,NOT(G36=0)),"I",IF(AND(P36&gt;0,G36=0),"N",IF(P36&lt;0,"D","ERROR")))))))</f>
        <v>D</v>
      </c>
      <c r="R36" s="156"/>
      <c r="S36" s="69" t="s">
        <v>440</v>
      </c>
      <c r="T36" s="70" t="s">
        <v>441</v>
      </c>
      <c r="U36" s="70" t="s">
        <v>437</v>
      </c>
      <c r="V36" s="71" t="s">
        <v>414</v>
      </c>
      <c r="W36" s="72">
        <v>53403</v>
      </c>
    </row>
    <row r="37" spans="1:23" x14ac:dyDescent="0.35">
      <c r="A37" s="28" t="s">
        <v>41</v>
      </c>
      <c r="B37" s="4" t="s">
        <v>539</v>
      </c>
      <c r="C37" s="13">
        <v>2640</v>
      </c>
      <c r="D37" s="22">
        <v>2700</v>
      </c>
      <c r="E37" s="13">
        <v>2025</v>
      </c>
      <c r="F37" s="27">
        <f>IF(D37=0,E37,IF(AND(E37=0,I37="A"),D37,IF(E37&gt;D37,E37, IF(E37/D37&gt;0.73,D37,E37))))</f>
        <v>2700</v>
      </c>
      <c r="G37" s="22">
        <v>225</v>
      </c>
      <c r="H37" s="26" t="s">
        <v>46</v>
      </c>
      <c r="I37" s="13"/>
      <c r="J37" s="13"/>
      <c r="K37" s="27">
        <f>IF(H37="",0,IF(J37&gt;0,0,IF(H37="A",G37,IF(H37="M",G37*12,IF(H37="W",G37*(Lookups!$B$9+1),IF(H37="B",G37*(+Lookups!$B$10),IF(H37="S",G37*2,IF(AND(G37=0,J37&gt;0),J37,"ERROR"))))))))</f>
        <v>2700</v>
      </c>
      <c r="L37" s="22">
        <v>200</v>
      </c>
      <c r="M37" s="26" t="s">
        <v>46</v>
      </c>
      <c r="N37" s="13"/>
      <c r="O37" s="27">
        <f>IF(L37="",0,IF(N37&gt;0,0,IF(M37="A",L37,IF(M37="M",L37*12,IF(M37="W",L37*Lookups!B$9,IF(M37="B",L37*+Lookups!B$10,IF(M37="S",L37*2,IF(AND(L37=0,N37&gt;0),N37,"ERROR"))))))))</f>
        <v>2400</v>
      </c>
      <c r="P37" s="170">
        <f t="shared" si="0"/>
        <v>-300</v>
      </c>
      <c r="Q37" s="171" t="str">
        <f>IF(AND(N37&gt;0,G37=0,L37=0),"X",IF(AND(N37&gt;0,G37&gt;0),"E",IF(P37="","",IF(P37=0,"S",IF(AND(P37&gt;0,NOT(G37=0)),"I",IF(AND(P37&gt;0,G37=0),"N",IF(P37&lt;0,"D","ERROR")))))))</f>
        <v>D</v>
      </c>
      <c r="R37" s="156"/>
      <c r="S37" s="69" t="s">
        <v>557</v>
      </c>
      <c r="T37" s="70" t="s">
        <v>558</v>
      </c>
      <c r="U37" s="70" t="s">
        <v>413</v>
      </c>
      <c r="V37" s="71" t="s">
        <v>414</v>
      </c>
      <c r="W37" s="72">
        <v>53403</v>
      </c>
    </row>
    <row r="38" spans="1:23" x14ac:dyDescent="0.35">
      <c r="A38" s="28" t="s">
        <v>258</v>
      </c>
      <c r="B38" s="4" t="s">
        <v>44</v>
      </c>
      <c r="C38" s="13">
        <v>3140</v>
      </c>
      <c r="D38" s="22">
        <v>3120</v>
      </c>
      <c r="E38" s="13">
        <v>2340</v>
      </c>
      <c r="F38" s="27">
        <f>IF(D38=0,E38,IF(AND(E38=0,I38="A"),D38,IF(E38&gt;D38,E38, IF(E38/D38&gt;0.73,D38,E38))))</f>
        <v>3120</v>
      </c>
      <c r="G38" s="22"/>
      <c r="H38" s="26" t="s">
        <v>45</v>
      </c>
      <c r="I38" s="13"/>
      <c r="J38" s="13">
        <v>3120</v>
      </c>
      <c r="K38" s="27">
        <f>IF(H38="",0,IF(J38&gt;0,0,IF(H38="A",G38,IF(H38="M",G38*12,IF(H38="W",G38*(Lookups!$B$9+1),IF(H38="B",G38*(+Lookups!$B$10),IF(H38="S",G38*2,IF(AND(G38=0,J38&gt;0),J38,"ERROR"))))))))</f>
        <v>0</v>
      </c>
      <c r="L38" s="22">
        <v>55</v>
      </c>
      <c r="M38" s="26" t="s">
        <v>45</v>
      </c>
      <c r="N38" s="13"/>
      <c r="O38" s="27">
        <f>IF(L38="",0,IF(N38&gt;0,0,IF(M38="A",L38,IF(M38="M",L38*12,IF(M38="W",L38*Lookups!B$9,IF(M38="B",L38*+Lookups!B$10,IF(M38="S",L38*2,IF(AND(L38=0,N38&gt;0),N38,"ERROR"))))))))</f>
        <v>2860</v>
      </c>
      <c r="P38" s="170">
        <f t="shared" si="0"/>
        <v>2860</v>
      </c>
      <c r="Q38" s="171" t="str">
        <f>IF(AND(N38&gt;0,G38=0,L38=0),"X",IF(AND(N38&gt;0,G38&gt;0),"E",IF(P38="","",IF(P38=0,"S",IF(AND(P38&gt;0,NOT(G38=0)),"I",IF(AND(P38&gt;0,G38=0),"N",IF(P38&lt;0,"D","ERROR")))))))</f>
        <v>N</v>
      </c>
      <c r="R38" s="156"/>
      <c r="S38" s="69" t="s">
        <v>559</v>
      </c>
      <c r="T38" s="70" t="s">
        <v>560</v>
      </c>
      <c r="U38" s="70" t="s">
        <v>413</v>
      </c>
      <c r="V38" s="71" t="s">
        <v>414</v>
      </c>
      <c r="W38" s="72">
        <v>53406</v>
      </c>
    </row>
    <row r="39" spans="1:23" x14ac:dyDescent="0.35">
      <c r="A39" s="28" t="s">
        <v>259</v>
      </c>
      <c r="B39" s="4" t="s">
        <v>260</v>
      </c>
      <c r="C39" s="13">
        <v>200</v>
      </c>
      <c r="D39" s="22"/>
      <c r="E39" s="13"/>
      <c r="F39" s="27">
        <f>IF(D39=0,E39,IF(AND(E39=0,I39="A"),D39,IF(E39&gt;D39,E39, IF(E39/D39&gt;0.73,D39,E39))))</f>
        <v>0</v>
      </c>
      <c r="G39" s="22"/>
      <c r="H39" s="26"/>
      <c r="I39" s="13"/>
      <c r="J39" s="13"/>
      <c r="K39" s="27">
        <f>IF(H39="",0,IF(J39&gt;0,0,IF(H39="A",G39,IF(H39="M",G39*12,IF(H39="W",G39*(Lookups!$B$9+1),IF(H39="B",G39*(+Lookups!$B$10),IF(H39="S",G39*2,IF(AND(G39=0,J39&gt;0),J39,"ERROR"))))))))</f>
        <v>0</v>
      </c>
      <c r="L39" s="22"/>
      <c r="M39" s="26"/>
      <c r="N39" s="13"/>
      <c r="O39" s="27">
        <f>IF(L39="",0,IF(N39&gt;0,0,IF(M39="A",L39,IF(M39="M",L39*12,IF(M39="W",L39*Lookups!B$9,IF(M39="B",L39*+Lookups!B$10,IF(M39="S",L39*2,IF(AND(L39=0,N39&gt;0),N39,"ERROR"))))))))</f>
        <v>0</v>
      </c>
      <c r="P39" s="170" t="str">
        <f t="shared" si="0"/>
        <v/>
      </c>
      <c r="Q39" s="171" t="str">
        <f>IF(AND(N39&gt;0,G39=0,L39=0),"X",IF(AND(N39&gt;0,G39&gt;0),"E",IF(P39="","",IF(P39=0,"S",IF(AND(P39&gt;0,NOT(G39=0)),"I",IF(AND(P39&gt;0,G39=0),"N",IF(P39&lt;0,"D","ERROR")))))))</f>
        <v/>
      </c>
      <c r="R39" s="156"/>
    </row>
    <row r="40" spans="1:23" x14ac:dyDescent="0.35">
      <c r="A40" s="28" t="s">
        <v>261</v>
      </c>
      <c r="B40" s="4" t="s">
        <v>262</v>
      </c>
      <c r="C40" s="13">
        <v>600</v>
      </c>
      <c r="D40" s="22"/>
      <c r="E40" s="13">
        <v>450</v>
      </c>
      <c r="F40" s="27">
        <f>IF(D40=0,E40,IF(AND(E40=0,I40="A"),D40,IF(E40&gt;D40,E40, IF(E40/D40&gt;0.73,D40,E40))))</f>
        <v>450</v>
      </c>
      <c r="G40" s="22"/>
      <c r="H40" s="26"/>
      <c r="I40" s="13"/>
      <c r="J40" s="13">
        <v>600</v>
      </c>
      <c r="K40" s="27">
        <f>IF(H40="",0,IF(J40&gt;0,0,IF(H40="A",G40,IF(H40="M",G40*12,IF(H40="W",G40*(Lookups!$B$9+1),IF(H40="B",G40*(+Lookups!$B$10),IF(H40="S",G40*2,IF(AND(G40=0,J40&gt;0),J40,"ERROR"))))))))</f>
        <v>0</v>
      </c>
      <c r="L40" s="22"/>
      <c r="M40" s="26"/>
      <c r="N40" s="13"/>
      <c r="O40" s="27">
        <f>IF(L40="",0,IF(N40&gt;0,0,IF(M40="A",L40,IF(M40="M",L40*12,IF(M40="W",L40*Lookups!B$9,IF(M40="B",L40*+Lookups!B$10,IF(M40="S",L40*2,IF(AND(L40=0,N40&gt;0),N40,"ERROR"))))))))</f>
        <v>0</v>
      </c>
      <c r="P40" s="170" t="str">
        <f t="shared" si="0"/>
        <v/>
      </c>
      <c r="Q40" s="171" t="str">
        <f>IF(AND(N40&gt;0,G40=0,L40=0),"X",IF(AND(N40&gt;0,G40&gt;0),"E",IF(P40="","",IF(P40=0,"S",IF(AND(P40&gt;0,NOT(G40=0)),"I",IF(AND(P40&gt;0,G40=0),"N",IF(P40&lt;0,"D","ERROR")))))))</f>
        <v/>
      </c>
      <c r="R40" s="156"/>
    </row>
    <row r="41" spans="1:23" x14ac:dyDescent="0.35">
      <c r="A41" s="28" t="s">
        <v>380</v>
      </c>
      <c r="B41" s="4" t="s">
        <v>381</v>
      </c>
      <c r="C41" s="13"/>
      <c r="D41" s="22"/>
      <c r="E41" s="13">
        <v>100</v>
      </c>
      <c r="F41" s="27">
        <f>IF(D41=0,E41,IF(AND(E41=0,I41="A"),D41,IF(E41&gt;D41,E41, IF(E41/D41&gt;0.73,D41,E41))))</f>
        <v>100</v>
      </c>
      <c r="G41" s="22"/>
      <c r="H41" s="26"/>
      <c r="I41" s="13"/>
      <c r="J41" s="13"/>
      <c r="K41" s="27">
        <f>IF(H41="",0,IF(J41&gt;0,0,IF(H41="A",G41,IF(H41="M",G41*12,IF(H41="W",G41*(Lookups!$B$9+1),IF(H41="B",G41*(+Lookups!$B$10),IF(H41="S",G41*2,IF(AND(G41=0,J41&gt;0),J41,"ERROR"))))))))</f>
        <v>0</v>
      </c>
      <c r="L41" s="22"/>
      <c r="M41" s="26"/>
      <c r="N41" s="13"/>
      <c r="O41" s="27">
        <f>IF(L41="",0,IF(N41&gt;0,0,IF(M41="A",L41,IF(M41="M",L41*12,IF(M41="W",L41*Lookups!B$9,IF(M41="B",L41*+Lookups!B$10,IF(M41="S",L41*2,IF(AND(L41=0,N41&gt;0),N41,"ERROR"))))))))</f>
        <v>0</v>
      </c>
      <c r="P41" s="170" t="str">
        <f t="shared" si="0"/>
        <v/>
      </c>
      <c r="Q41" s="171" t="str">
        <f>IF(AND(N41&gt;0,G41=0,L41=0),"X",IF(AND(N41&gt;0,G41&gt;0),"E",IF(P41="","",IF(P41=0,"S",IF(AND(P41&gt;0,NOT(G41=0)),"I",IF(AND(P41&gt;0,G41=0),"N",IF(P41&lt;0,"D","ERROR")))))))</f>
        <v/>
      </c>
      <c r="R41" s="156"/>
    </row>
    <row r="42" spans="1:23" x14ac:dyDescent="0.35">
      <c r="A42" s="28" t="s">
        <v>76</v>
      </c>
      <c r="B42" s="4" t="s">
        <v>77</v>
      </c>
      <c r="C42" s="13">
        <v>2600</v>
      </c>
      <c r="D42" s="22">
        <v>5200</v>
      </c>
      <c r="E42" s="13">
        <v>5200</v>
      </c>
      <c r="F42" s="27">
        <f>IF(D42=0,E42,IF(AND(E42=0,I42="A"),D42,IF(E42&gt;D42,E42, IF(E42/D42&gt;0.73,D42,E42))))</f>
        <v>5200</v>
      </c>
      <c r="G42" s="22"/>
      <c r="H42" s="26" t="s">
        <v>42</v>
      </c>
      <c r="I42" s="13"/>
      <c r="J42" s="13">
        <v>5200</v>
      </c>
      <c r="K42" s="27">
        <f>IF(H42="",0,IF(J42&gt;0,0,IF(H42="A",G42,IF(H42="M",G42*12,IF(H42="W",G42*(Lookups!$B$9+1),IF(H42="B",G42*(+Lookups!$B$10),IF(H42="S",G42*2,IF(AND(G42=0,J42&gt;0),J42,"ERROR"))))))))</f>
        <v>0</v>
      </c>
      <c r="L42" s="22"/>
      <c r="M42" s="26"/>
      <c r="N42" s="13"/>
      <c r="O42" s="27">
        <f>IF(L42="",0,IF(N42&gt;0,0,IF(M42="A",L42,IF(M42="M",L42*12,IF(M42="W",L42*Lookups!B$9,IF(M42="B",L42*+Lookups!B$10,IF(M42="S",L42*2,IF(AND(L42=0,N42&gt;0),N42,"ERROR"))))))))</f>
        <v>0</v>
      </c>
      <c r="P42" s="170" t="str">
        <f t="shared" si="0"/>
        <v/>
      </c>
      <c r="Q42" s="171" t="str">
        <f>IF(AND(N42&gt;0,G42=0,L42=0),"X",IF(AND(N42&gt;0,G42&gt;0),"E",IF(P42="","",IF(P42=0,"S",IF(AND(P42&gt;0,NOT(G42=0)),"I",IF(AND(P42&gt;0,G42=0),"N",IF(P42&lt;0,"D","ERROR")))))))</f>
        <v/>
      </c>
      <c r="R42" s="156"/>
    </row>
    <row r="43" spans="1:23" x14ac:dyDescent="0.35">
      <c r="A43" s="28" t="s">
        <v>382</v>
      </c>
      <c r="B43" s="4" t="s">
        <v>383</v>
      </c>
      <c r="C43" s="13"/>
      <c r="D43" s="22"/>
      <c r="E43" s="13">
        <v>25</v>
      </c>
      <c r="F43" s="27">
        <f>IF(D43=0,E43,IF(AND(E43=0,I43="A"),D43,IF(E43&gt;D43,E43, IF(E43/D43&gt;0.73,D43,E43))))</f>
        <v>25</v>
      </c>
      <c r="G43" s="22"/>
      <c r="H43" s="26"/>
      <c r="I43" s="13"/>
      <c r="J43" s="13"/>
      <c r="K43" s="27">
        <f>IF(H43="",0,IF(J43&gt;0,0,IF(H43="A",G43,IF(H43="M",G43*12,IF(H43="W",G43*(Lookups!$B$9+1),IF(H43="B",G43*(+Lookups!$B$10),IF(H43="S",G43*2,IF(AND(G43=0,J43&gt;0),J43,"ERROR"))))))))</f>
        <v>0</v>
      </c>
      <c r="L43" s="22"/>
      <c r="M43" s="26"/>
      <c r="N43" s="13"/>
      <c r="O43" s="27">
        <f>IF(L43="",0,IF(N43&gt;0,0,IF(M43="A",L43,IF(M43="M",L43*12,IF(M43="W",L43*Lookups!B$9,IF(M43="B",L43*+Lookups!B$10,IF(M43="S",L43*2,IF(AND(L43=0,N43&gt;0),N43,"ERROR"))))))))</f>
        <v>0</v>
      </c>
      <c r="P43" s="170" t="str">
        <f t="shared" si="0"/>
        <v/>
      </c>
      <c r="Q43" s="171" t="str">
        <f>IF(AND(N43&gt;0,G43=0,L43=0),"X",IF(AND(N43&gt;0,G43&gt;0),"E",IF(P43="","",IF(P43=0,"S",IF(AND(P43&gt;0,NOT(G43=0)),"I",IF(AND(P43&gt;0,G43=0),"N",IF(P43&lt;0,"D","ERROR")))))))</f>
        <v/>
      </c>
      <c r="R43" s="156"/>
    </row>
    <row r="44" spans="1:23" x14ac:dyDescent="0.35">
      <c r="A44" s="28" t="s">
        <v>263</v>
      </c>
      <c r="B44" s="4" t="s">
        <v>264</v>
      </c>
      <c r="C44" s="13">
        <v>120</v>
      </c>
      <c r="D44" s="22"/>
      <c r="E44" s="13"/>
      <c r="F44" s="27">
        <f>IF(D44=0,E44,IF(AND(E44=0,I44="A"),D44,IF(E44&gt;D44,E44, IF(E44/D44&gt;0.73,D44,E44))))</f>
        <v>0</v>
      </c>
      <c r="G44" s="22"/>
      <c r="H44" s="26"/>
      <c r="I44" s="13"/>
      <c r="J44" s="13"/>
      <c r="K44" s="27">
        <f>IF(H44="",0,IF(J44&gt;0,0,IF(H44="A",G44,IF(H44="M",G44*12,IF(H44="W",G44*(Lookups!$B$9+1),IF(H44="B",G44*(+Lookups!$B$10),IF(H44="S",G44*2,IF(AND(G44=0,J44&gt;0),J44,"ERROR"))))))))</f>
        <v>0</v>
      </c>
      <c r="L44" s="22">
        <v>5</v>
      </c>
      <c r="M44" s="26" t="s">
        <v>45</v>
      </c>
      <c r="N44" s="13"/>
      <c r="O44" s="27">
        <f>IF(L44="",0,IF(N44&gt;0,0,IF(M44="A",L44,IF(M44="M",L44*12,IF(M44="W",L44*Lookups!B$9,IF(M44="B",L44*+Lookups!B$10,IF(M44="S",L44*2,IF(AND(L44=0,N44&gt;0),N44,"ERROR"))))))))</f>
        <v>260</v>
      </c>
      <c r="P44" s="170">
        <f t="shared" si="0"/>
        <v>260</v>
      </c>
      <c r="Q44" s="171" t="str">
        <f>IF(AND(N44&gt;0,G44=0,L44=0),"X",IF(AND(N44&gt;0,G44&gt;0),"E",IF(P44="","",IF(P44=0,"S",IF(AND(P44&gt;0,NOT(G44=0)),"I",IF(AND(P44&gt;0,G44=0),"N",IF(P44&lt;0,"D","ERROR")))))))</f>
        <v>N</v>
      </c>
      <c r="R44" s="156"/>
      <c r="T44" s="70" t="s">
        <v>561</v>
      </c>
      <c r="U44" s="70" t="s">
        <v>437</v>
      </c>
      <c r="V44" s="71" t="s">
        <v>414</v>
      </c>
      <c r="W44" s="72">
        <v>53406</v>
      </c>
    </row>
    <row r="45" spans="1:23" x14ac:dyDescent="0.35">
      <c r="A45" s="28" t="s">
        <v>78</v>
      </c>
      <c r="B45" s="4" t="s">
        <v>79</v>
      </c>
      <c r="C45" s="13">
        <v>1680</v>
      </c>
      <c r="D45" s="22">
        <v>1800</v>
      </c>
      <c r="E45" s="13">
        <v>1350</v>
      </c>
      <c r="F45" s="27">
        <f>IF(D45=0,E45,IF(AND(E45=0,I45="A"),D45,IF(E45&gt;D45,E45, IF(E45/D45&gt;0.73,D45,E45))))</f>
        <v>1800</v>
      </c>
      <c r="G45" s="22">
        <v>150</v>
      </c>
      <c r="H45" s="26" t="s">
        <v>46</v>
      </c>
      <c r="I45" s="13"/>
      <c r="J45" s="13"/>
      <c r="K45" s="27">
        <f>IF(H45="",0,IF(J45&gt;0,0,IF(H45="A",G45,IF(H45="M",G45*12,IF(H45="W",G45*(Lookups!$B$9+1),IF(H45="B",G45*(+Lookups!$B$10),IF(H45="S",G45*2,IF(AND(G45=0,J45&gt;0),J45,"ERROR"))))))))</f>
        <v>1800</v>
      </c>
      <c r="L45" s="22">
        <v>150</v>
      </c>
      <c r="M45" s="26" t="s">
        <v>46</v>
      </c>
      <c r="N45" s="13"/>
      <c r="O45" s="27">
        <f>IF(L45="",0,IF(N45&gt;0,0,IF(M45="A",L45,IF(M45="M",L45*12,IF(M45="W",L45*Lookups!B$9,IF(M45="B",L45*+Lookups!B$10,IF(M45="S",L45*2,IF(AND(L45=0,N45&gt;0),N45,"ERROR"))))))))</f>
        <v>1800</v>
      </c>
      <c r="P45" s="170">
        <f t="shared" si="0"/>
        <v>0</v>
      </c>
      <c r="Q45" s="171" t="str">
        <f>IF(AND(N45&gt;0,G45=0,L45=0),"X",IF(AND(N45&gt;0,G45&gt;0),"E",IF(P45="","",IF(P45=0,"S",IF(AND(P45&gt;0,NOT(G45=0)),"I",IF(AND(P45&gt;0,G45=0),"N",IF(P45&lt;0,"D","ERROR")))))))</f>
        <v>S</v>
      </c>
      <c r="R45" s="156"/>
      <c r="S45" s="69" t="s">
        <v>442</v>
      </c>
      <c r="T45" s="70" t="s">
        <v>443</v>
      </c>
      <c r="U45" s="70" t="s">
        <v>413</v>
      </c>
      <c r="V45" s="71" t="s">
        <v>414</v>
      </c>
      <c r="W45" s="72" t="s">
        <v>565</v>
      </c>
    </row>
    <row r="46" spans="1:23" x14ac:dyDescent="0.35">
      <c r="A46" s="28" t="s">
        <v>80</v>
      </c>
      <c r="B46" s="4" t="s">
        <v>81</v>
      </c>
      <c r="C46" s="13">
        <v>735</v>
      </c>
      <c r="D46" s="22">
        <v>1560</v>
      </c>
      <c r="E46" s="13">
        <v>445</v>
      </c>
      <c r="F46" s="27">
        <f>IF(D46=0,E46,IF(AND(E46=0,I46="A"),D46,IF(E46&gt;D46,E46, IF(E46/D46&gt;0.73,D46,E46))))</f>
        <v>445</v>
      </c>
      <c r="G46" s="22"/>
      <c r="H46" s="26" t="s">
        <v>45</v>
      </c>
      <c r="I46" s="13"/>
      <c r="J46" s="13">
        <v>1000</v>
      </c>
      <c r="K46" s="27">
        <f>IF(H46="",0,IF(J46&gt;0,0,IF(H46="A",G46,IF(H46="M",G46*12,IF(H46="W",G46*(Lookups!$B$9+1),IF(H46="B",G46*(+Lookups!$B$10),IF(H46="S",G46*2,IF(AND(G46=0,J46&gt;0),J46,"ERROR"))))))))</f>
        <v>0</v>
      </c>
      <c r="L46" s="22"/>
      <c r="M46" s="26"/>
      <c r="N46" s="13"/>
      <c r="O46" s="27">
        <f>IF(L46="",0,IF(N46&gt;0,0,IF(M46="A",L46,IF(M46="M",L46*12,IF(M46="W",L46*Lookups!B$9,IF(M46="B",L46*+Lookups!B$10,IF(M46="S",L46*2,IF(AND(L46=0,N46&gt;0),N46,"ERROR"))))))))</f>
        <v>0</v>
      </c>
      <c r="P46" s="170" t="str">
        <f t="shared" si="0"/>
        <v/>
      </c>
      <c r="Q46" s="171" t="str">
        <f>IF(AND(N46&gt;0,G46=0,L46=0),"X",IF(AND(N46&gt;0,G46&gt;0),"E",IF(P46="","",IF(P46=0,"S",IF(AND(P46&gt;0,NOT(G46=0)),"I",IF(AND(P46&gt;0,G46=0),"N",IF(P46&lt;0,"D","ERROR")))))))</f>
        <v/>
      </c>
      <c r="R46" s="156"/>
    </row>
    <row r="47" spans="1:23" x14ac:dyDescent="0.35">
      <c r="A47" s="28" t="s">
        <v>265</v>
      </c>
      <c r="B47" s="4" t="s">
        <v>266</v>
      </c>
      <c r="C47" s="13">
        <v>300</v>
      </c>
      <c r="D47" s="22"/>
      <c r="E47" s="13"/>
      <c r="F47" s="27">
        <f>IF(D47=0,E47,IF(AND(E47=0,I47="A"),D47,IF(E47&gt;D47,E47, IF(E47/D47&gt;0.73,D47,E47))))</f>
        <v>0</v>
      </c>
      <c r="G47" s="22"/>
      <c r="H47" s="26"/>
      <c r="I47" s="13"/>
      <c r="J47" s="13"/>
      <c r="K47" s="27">
        <f>IF(H47="",0,IF(J47&gt;0,0,IF(H47="A",G47,IF(H47="M",G47*12,IF(H47="W",G47*(Lookups!$B$9+1),IF(H47="B",G47*(+Lookups!$B$10),IF(H47="S",G47*2,IF(AND(G47=0,J47&gt;0),J47,"ERROR"))))))))</f>
        <v>0</v>
      </c>
      <c r="L47" s="22"/>
      <c r="M47" s="26"/>
      <c r="N47" s="13"/>
      <c r="O47" s="27">
        <f>IF(L47="",0,IF(N47&gt;0,0,IF(M47="A",L47,IF(M47="M",L47*12,IF(M47="W",L47*Lookups!B$9,IF(M47="B",L47*+Lookups!B$10,IF(M47="S",L47*2,IF(AND(L47=0,N47&gt;0),N47,"ERROR"))))))))</f>
        <v>0</v>
      </c>
      <c r="P47" s="170" t="str">
        <f t="shared" si="0"/>
        <v/>
      </c>
      <c r="Q47" s="171" t="str">
        <f>IF(AND(N47&gt;0,G47=0,L47=0),"X",IF(AND(N47&gt;0,G47&gt;0),"E",IF(P47="","",IF(P47=0,"S",IF(AND(P47&gt;0,NOT(G47=0)),"I",IF(AND(P47&gt;0,G47=0),"N",IF(P47&lt;0,"D","ERROR")))))))</f>
        <v/>
      </c>
      <c r="R47" s="156"/>
    </row>
    <row r="48" spans="1:23" x14ac:dyDescent="0.35">
      <c r="A48" s="28" t="s">
        <v>82</v>
      </c>
      <c r="B48" s="4" t="s">
        <v>83</v>
      </c>
      <c r="C48" s="13">
        <v>300</v>
      </c>
      <c r="D48" s="22">
        <v>360</v>
      </c>
      <c r="E48" s="13">
        <v>240</v>
      </c>
      <c r="F48" s="27">
        <f>IF(D48=0,E48,IF(AND(E48=0,I48="A"),D48,IF(E48&gt;D48,E48, IF(E48/D48&gt;0.73,D48,E48))))</f>
        <v>240</v>
      </c>
      <c r="G48" s="22"/>
      <c r="H48" s="26" t="s">
        <v>46</v>
      </c>
      <c r="I48" s="13"/>
      <c r="J48" s="13">
        <v>250</v>
      </c>
      <c r="K48" s="27">
        <f>IF(H48="",0,IF(J48&gt;0,0,IF(H48="A",G48,IF(H48="M",G48*12,IF(H48="W",G48*(Lookups!$B$9+1),IF(H48="B",G48*(+Lookups!$B$10),IF(H48="S",G48*2,IF(AND(G48=0,J48&gt;0),J48,"ERROR"))))))))</f>
        <v>0</v>
      </c>
      <c r="L48" s="22">
        <v>50</v>
      </c>
      <c r="M48" s="26" t="s">
        <v>46</v>
      </c>
      <c r="N48" s="13"/>
      <c r="O48" s="27">
        <f>IF(L48="",0,IF(N48&gt;0,0,IF(M48="A",L48,IF(M48="M",L48*12,IF(M48="W",L48*Lookups!B$9,IF(M48="B",L48*+Lookups!B$10,IF(M48="S",L48*2,IF(AND(L48=0,N48&gt;0),N48,"ERROR"))))))))</f>
        <v>600</v>
      </c>
      <c r="P48" s="170">
        <f t="shared" si="0"/>
        <v>600</v>
      </c>
      <c r="Q48" s="171" t="str">
        <f>IF(AND(N48&gt;0,G48=0,L48=0),"X",IF(AND(N48&gt;0,G48&gt;0),"E",IF(P48="","",IF(P48=0,"S",IF(AND(P48&gt;0,NOT(G48=0)),"I",IF(AND(P48&gt;0,G48=0),"N",IF(P48&lt;0,"D","ERROR")))))))</f>
        <v>N</v>
      </c>
      <c r="R48" s="156"/>
      <c r="S48" s="69" t="s">
        <v>562</v>
      </c>
      <c r="T48" s="70" t="s">
        <v>563</v>
      </c>
      <c r="U48" s="70" t="s">
        <v>437</v>
      </c>
      <c r="V48" s="71" t="s">
        <v>414</v>
      </c>
      <c r="W48" s="72">
        <v>53404</v>
      </c>
    </row>
    <row r="49" spans="1:23" x14ac:dyDescent="0.35">
      <c r="A49" s="28" t="s">
        <v>444</v>
      </c>
      <c r="B49" s="4" t="s">
        <v>84</v>
      </c>
      <c r="C49" s="13">
        <v>3600</v>
      </c>
      <c r="D49" s="22">
        <v>3720</v>
      </c>
      <c r="E49" s="13">
        <v>2480</v>
      </c>
      <c r="F49" s="27">
        <f>IF(D49=0,E49,IF(AND(E49=0,I49="A"),D49,IF(E49&gt;D49,E49, IF(E49/D49&gt;0.73,D49,E49))))</f>
        <v>2480</v>
      </c>
      <c r="G49" s="22">
        <v>310</v>
      </c>
      <c r="H49" s="26" t="s">
        <v>46</v>
      </c>
      <c r="I49" s="13"/>
      <c r="J49" s="13"/>
      <c r="K49" s="27">
        <f>IF(H49="",0,IF(J49&gt;0,0,IF(H49="A",G49,IF(H49="M",G49*12,IF(H49="W",G49*(Lookups!$B$9+1),IF(H49="B",G49*(+Lookups!$B$10),IF(H49="S",G49*2,IF(AND(G49=0,J49&gt;0),J49,"ERROR"))))))))</f>
        <v>3720</v>
      </c>
      <c r="L49" s="22"/>
      <c r="M49" s="26"/>
      <c r="N49" s="13"/>
      <c r="O49" s="27">
        <f>IF(L49="",0,IF(N49&gt;0,0,IF(M49="A",L49,IF(M49="M",L49*12,IF(M49="W",L49*Lookups!B$9,IF(M49="B",L49*+Lookups!B$10,IF(M49="S",L49*2,IF(AND(L49=0,N49&gt;0),N49,"ERROR"))))))))</f>
        <v>0</v>
      </c>
      <c r="P49" s="170">
        <f t="shared" si="0"/>
        <v>-3720</v>
      </c>
      <c r="Q49" s="171" t="str">
        <f>IF(AND(N49&gt;0,G49=0,L49=0),"X",IF(AND(N49&gt;0,G49&gt;0),"E",IF(P49="","",IF(P49=0,"S",IF(AND(P49&gt;0,NOT(G49=0)),"I",IF(AND(P49&gt;0,G49=0),"N",IF(P49&lt;0,"D","ERROR")))))))</f>
        <v>D</v>
      </c>
      <c r="R49" s="156"/>
      <c r="T49" s="70" t="s">
        <v>445</v>
      </c>
      <c r="U49" s="70" t="s">
        <v>413</v>
      </c>
      <c r="V49" s="71" t="s">
        <v>414</v>
      </c>
      <c r="W49" s="72">
        <v>53406</v>
      </c>
    </row>
    <row r="50" spans="1:23" x14ac:dyDescent="0.35">
      <c r="A50" s="28" t="s">
        <v>85</v>
      </c>
      <c r="B50" s="4" t="s">
        <v>86</v>
      </c>
      <c r="C50" s="13">
        <v>2652</v>
      </c>
      <c r="D50" s="22">
        <v>2756</v>
      </c>
      <c r="E50" s="13">
        <v>689</v>
      </c>
      <c r="F50" s="27">
        <f>IF(D50=0,E50,IF(AND(E50=0,I50="A"),D50,IF(E50&gt;D50,E50, IF(E50/D50&gt;0.73,D50,E50))))</f>
        <v>689</v>
      </c>
      <c r="G50" s="22"/>
      <c r="H50" s="26" t="s">
        <v>45</v>
      </c>
      <c r="I50" s="13"/>
      <c r="J50" s="26"/>
      <c r="K50" s="27">
        <f>IF(H50="",0,IF(J50&gt;0,0,IF(H50="A",G50,IF(H50="M",G50*12,IF(H50="W",G50*(Lookups!$B$9+1),IF(H50="B",G50*(+Lookups!$B$10),IF(H50="S",G50*2,IF(AND(G50=0,J50&gt;0),J50,"ERROR"))))))))</f>
        <v>0</v>
      </c>
      <c r="L50" s="22"/>
      <c r="M50" s="26"/>
      <c r="N50" s="26"/>
      <c r="O50" s="27">
        <f>IF(L50="",0,IF(N50&gt;0,0,IF(M50="A",L50,IF(M50="M",L50*12,IF(M50="W",L50*Lookups!B$9,IF(M50="B",L50*+Lookups!B$10,IF(M50="S",L50*2,IF(AND(L50=0,N50&gt;0),N50,"ERROR"))))))))</f>
        <v>0</v>
      </c>
      <c r="P50" s="170" t="str">
        <f t="shared" si="0"/>
        <v/>
      </c>
      <c r="Q50" s="171" t="str">
        <f>IF(AND(N50&gt;0,G50=0,L50=0),"X",IF(AND(N50&gt;0,G50&gt;0),"E",IF(P50="","",IF(P50=0,"S",IF(AND(P50&gt;0,NOT(G50=0)),"I",IF(AND(P50&gt;0,G50=0),"N",IF(P50&lt;0,"D","ERROR")))))))</f>
        <v/>
      </c>
      <c r="R50" s="156"/>
    </row>
    <row r="51" spans="1:23" x14ac:dyDescent="0.35">
      <c r="A51" s="28" t="s">
        <v>87</v>
      </c>
      <c r="B51" s="4" t="s">
        <v>88</v>
      </c>
      <c r="C51" s="13">
        <v>6500</v>
      </c>
      <c r="D51" s="22">
        <v>6500</v>
      </c>
      <c r="E51" s="13">
        <v>4875</v>
      </c>
      <c r="F51" s="27">
        <f>IF(D51=0,E51,IF(AND(E51=0,I51="A"),D51,IF(E51&gt;D51,E51, IF(E51/D51&gt;0.73,D51,E51))))</f>
        <v>6500</v>
      </c>
      <c r="G51" s="22">
        <v>125</v>
      </c>
      <c r="H51" s="26" t="s">
        <v>45</v>
      </c>
      <c r="I51" s="13"/>
      <c r="J51" s="13"/>
      <c r="K51" s="27">
        <f>IF(H51="",0,IF(J51&gt;0,0,IF(H51="A",G51,IF(H51="M",G51*12,IF(H51="W",G51*(Lookups!$B$9+1),IF(H51="B",G51*(+Lookups!$B$10),IF(H51="S",G51*2,IF(AND(G51=0,J51&gt;0),J51,"ERROR"))))))))</f>
        <v>6625</v>
      </c>
      <c r="L51" s="22"/>
      <c r="M51" s="26"/>
      <c r="N51" s="13"/>
      <c r="O51" s="27">
        <f>IF(L51="",0,IF(N51&gt;0,0,IF(M51="A",L51,IF(M51="M",L51*12,IF(M51="W",L51*Lookups!B$9,IF(M51="B",L51*+Lookups!B$10,IF(M51="S",L51*2,IF(AND(L51=0,N51&gt;0),N51,"ERROR"))))))))</f>
        <v>0</v>
      </c>
      <c r="P51" s="170">
        <f t="shared" si="0"/>
        <v>-6625</v>
      </c>
      <c r="Q51" s="171" t="str">
        <f>IF(AND(N51&gt;0,G51=0,L51=0),"X",IF(AND(N51&gt;0,G51&gt;0),"E",IF(P51="","",IF(P51=0,"S",IF(AND(P51&gt;0,NOT(G51=0)),"I",IF(AND(P51&gt;0,G51=0),"N",IF(P51&lt;0,"D","ERROR")))))))</f>
        <v>D</v>
      </c>
      <c r="R51" s="156"/>
    </row>
    <row r="52" spans="1:23" x14ac:dyDescent="0.35">
      <c r="A52" s="28" t="s">
        <v>89</v>
      </c>
      <c r="B52" s="4" t="s">
        <v>90</v>
      </c>
      <c r="C52" s="13">
        <v>240</v>
      </c>
      <c r="D52" s="22">
        <v>240</v>
      </c>
      <c r="E52" s="13">
        <v>120</v>
      </c>
      <c r="F52" s="27">
        <f>IF(D52=0,E52,IF(AND(E52=0,I52="A"),D52,IF(E52&gt;D52,E52, IF(E52/D52&gt;0.73,D52,E52))))</f>
        <v>120</v>
      </c>
      <c r="G52" s="22">
        <v>20</v>
      </c>
      <c r="H52" s="26" t="s">
        <v>46</v>
      </c>
      <c r="I52" s="13"/>
      <c r="J52" s="13"/>
      <c r="K52" s="27">
        <f>IF(H52="",0,IF(J52&gt;0,0,IF(H52="A",G52,IF(H52="M",G52*12,IF(H52="W",G52*(Lookups!$B$9+1),IF(H52="B",G52*(+Lookups!$B$10),IF(H52="S",G52*2,IF(AND(G52=0,J52&gt;0),J52,"ERROR"))))))))</f>
        <v>240</v>
      </c>
      <c r="L52" s="22">
        <v>20</v>
      </c>
      <c r="M52" s="26" t="s">
        <v>46</v>
      </c>
      <c r="N52" s="13"/>
      <c r="O52" s="27">
        <f>IF(L52="",0,IF(N52&gt;0,0,IF(M52="A",L52,IF(M52="M",L52*12,IF(M52="W",L52*Lookups!B$9,IF(M52="B",L52*+Lookups!B$10,IF(M52="S",L52*2,IF(AND(L52=0,N52&gt;0),N52,"ERROR"))))))))</f>
        <v>240</v>
      </c>
      <c r="P52" s="170">
        <f t="shared" si="0"/>
        <v>0</v>
      </c>
      <c r="Q52" s="171" t="str">
        <f>IF(AND(N52&gt;0,G52=0,L52=0),"X",IF(AND(N52&gt;0,G52&gt;0),"E",IF(P52="","",IF(P52=0,"S",IF(AND(P52&gt;0,NOT(G52=0)),"I",IF(AND(P52&gt;0,G52=0),"N",IF(P52&lt;0,"D","ERROR")))))))</f>
        <v>S</v>
      </c>
      <c r="R52" s="156"/>
      <c r="T52" s="70" t="s">
        <v>564</v>
      </c>
      <c r="U52" s="70" t="s">
        <v>437</v>
      </c>
      <c r="V52" s="71" t="s">
        <v>414</v>
      </c>
      <c r="W52" s="72">
        <v>53405</v>
      </c>
    </row>
    <row r="53" spans="1:23" x14ac:dyDescent="0.35">
      <c r="A53" s="28" t="s">
        <v>91</v>
      </c>
      <c r="B53" s="4" t="s">
        <v>92</v>
      </c>
      <c r="C53" s="13">
        <v>40</v>
      </c>
      <c r="D53" s="22">
        <v>260</v>
      </c>
      <c r="E53" s="13">
        <v>195</v>
      </c>
      <c r="F53" s="27">
        <f>IF(D53=0,E53,IF(AND(E53=0,I53="A"),D53,IF(E53&gt;D53,E53, IF(E53/D53&gt;0.73,D53,E53))))</f>
        <v>260</v>
      </c>
      <c r="G53" s="22"/>
      <c r="H53" s="26" t="s">
        <v>45</v>
      </c>
      <c r="I53" s="13"/>
      <c r="J53" s="13"/>
      <c r="K53" s="27">
        <f>IF(H53="",0,IF(J53&gt;0,0,IF(H53="A",G53,IF(H53="M",G53*12,IF(H53="W",G53*(Lookups!$B$9+1),IF(H53="B",G53*(+Lookups!$B$10),IF(H53="S",G53*2,IF(AND(G53=0,J53&gt;0),J53,"ERROR"))))))))</f>
        <v>0</v>
      </c>
      <c r="L53" s="22"/>
      <c r="M53" s="26"/>
      <c r="N53" s="13"/>
      <c r="O53" s="27">
        <f>IF(L53="",0,IF(N53&gt;0,0,IF(M53="A",L53,IF(M53="M",L53*12,IF(M53="W",L53*Lookups!B$9,IF(M53="B",L53*+Lookups!B$10,IF(M53="S",L53*2,IF(AND(L53=0,N53&gt;0),N53,"ERROR"))))))))</f>
        <v>0</v>
      </c>
      <c r="P53" s="170" t="str">
        <f t="shared" si="0"/>
        <v/>
      </c>
      <c r="Q53" s="171" t="str">
        <f>IF(AND(N53&gt;0,G53=0,L53=0),"X",IF(AND(N53&gt;0,G53&gt;0),"E",IF(P53="","",IF(P53=0,"S",IF(AND(P53&gt;0,NOT(G53=0)),"I",IF(AND(P53&gt;0,G53=0),"N",IF(P53&lt;0,"D","ERROR")))))))</f>
        <v/>
      </c>
      <c r="R53" s="156"/>
    </row>
    <row r="54" spans="1:23" x14ac:dyDescent="0.35">
      <c r="A54" s="28" t="s">
        <v>93</v>
      </c>
      <c r="B54" s="4" t="s">
        <v>94</v>
      </c>
      <c r="C54" s="13">
        <v>3110</v>
      </c>
      <c r="D54" s="22">
        <v>3240</v>
      </c>
      <c r="E54" s="13">
        <v>2430</v>
      </c>
      <c r="F54" s="27">
        <f>IF(D54=0,E54,IF(AND(E54=0,I54="A"),D54,IF(E54&gt;D54,E54, IF(E54/D54&gt;0.73,D54,E54))))</f>
        <v>3240</v>
      </c>
      <c r="G54" s="22">
        <v>300</v>
      </c>
      <c r="H54" s="26" t="s">
        <v>46</v>
      </c>
      <c r="I54" s="13"/>
      <c r="J54" s="13"/>
      <c r="K54" s="27">
        <f>IF(H54="",0,IF(J54&gt;0,0,IF(H54="A",G54,IF(H54="M",G54*12,IF(H54="W",G54*(Lookups!$B$9+1),IF(H54="B",G54*(+Lookups!$B$10),IF(H54="S",G54*2,IF(AND(G54=0,J54&gt;0),J54,"ERROR"))))))))</f>
        <v>3600</v>
      </c>
      <c r="L54" s="22">
        <v>300</v>
      </c>
      <c r="M54" s="26" t="s">
        <v>46</v>
      </c>
      <c r="N54" s="13"/>
      <c r="O54" s="27">
        <f>IF(L54="",0,IF(N54&gt;0,0,IF(M54="A",L54,IF(M54="M",L54*12,IF(M54="W",L54*Lookups!B$9,IF(M54="B",L54*+Lookups!B$10,IF(M54="S",L54*2,IF(AND(L54=0,N54&gt;0),N54,"ERROR"))))))))</f>
        <v>3600</v>
      </c>
      <c r="P54" s="170">
        <f t="shared" si="0"/>
        <v>0</v>
      </c>
      <c r="Q54" s="171" t="str">
        <f>IF(AND(N54&gt;0,G54=0,L54=0),"X",IF(AND(N54&gt;0,G54&gt;0),"E",IF(P54="","",IF(P54=0,"S",IF(AND(P54&gt;0,NOT(G54=0)),"I",IF(AND(P54&gt;0,G54=0),"N",IF(P54&lt;0,"D","ERROR")))))))</f>
        <v>S</v>
      </c>
      <c r="R54" s="156"/>
      <c r="S54" s="69" t="s">
        <v>446</v>
      </c>
      <c r="T54" s="70" t="s">
        <v>447</v>
      </c>
      <c r="U54" s="70" t="s">
        <v>413</v>
      </c>
      <c r="V54" s="71" t="s">
        <v>414</v>
      </c>
      <c r="W54" s="72" t="s">
        <v>448</v>
      </c>
    </row>
    <row r="55" spans="1:23" x14ac:dyDescent="0.35">
      <c r="A55" s="28" t="s">
        <v>95</v>
      </c>
      <c r="B55" s="4" t="s">
        <v>96</v>
      </c>
      <c r="C55" s="13">
        <v>2220</v>
      </c>
      <c r="D55" s="22">
        <v>2280</v>
      </c>
      <c r="E55" s="13">
        <v>1710</v>
      </c>
      <c r="F55" s="27">
        <f>IF(D55=0,E55,IF(AND(E55=0,I55="A"),D55,IF(E55&gt;D55,E55, IF(E55/D55&gt;0.73,D55,E55))))</f>
        <v>2280</v>
      </c>
      <c r="G55" s="22">
        <v>200</v>
      </c>
      <c r="H55" s="26" t="s">
        <v>46</v>
      </c>
      <c r="I55" s="13"/>
      <c r="J55" s="13"/>
      <c r="K55" s="27">
        <f>IF(H55="",0,IF(J55&gt;0,0,IF(H55="A",G55,IF(H55="M",G55*12,IF(H55="W",G55*(Lookups!$B$9+1),IF(H55="B",G55*(+Lookups!$B$10),IF(H55="S",G55*2,IF(AND(G55=0,J55&gt;0),J55,"ERROR"))))))))</f>
        <v>2400</v>
      </c>
      <c r="L55" s="22">
        <v>200</v>
      </c>
      <c r="M55" s="26" t="s">
        <v>46</v>
      </c>
      <c r="N55" s="13"/>
      <c r="O55" s="27">
        <f>IF(L55="",0,IF(N55&gt;0,0,IF(M55="A",L55,IF(M55="M",L55*12,IF(M55="W",L55*Lookups!B$9,IF(M55="B",L55*+Lookups!B$10,IF(M55="S",L55*2,IF(AND(L55=0,N55&gt;0),N55,"ERROR"))))))))</f>
        <v>2400</v>
      </c>
      <c r="P55" s="170">
        <f t="shared" si="0"/>
        <v>0</v>
      </c>
      <c r="Q55" s="171" t="str">
        <f>IF(AND(N55&gt;0,G55=0,L55=0),"X",IF(AND(N55&gt;0,G55&gt;0),"E",IF(P55="","",IF(P55=0,"S",IF(AND(P55&gt;0,NOT(G55=0)),"I",IF(AND(P55&gt;0,G55=0),"N",IF(P55&lt;0,"D","ERROR")))))))</f>
        <v>S</v>
      </c>
      <c r="R55" s="156"/>
      <c r="T55" s="70" t="s">
        <v>449</v>
      </c>
      <c r="U55" s="70" t="s">
        <v>437</v>
      </c>
      <c r="V55" s="71" t="s">
        <v>414</v>
      </c>
      <c r="W55" s="72" t="s">
        <v>450</v>
      </c>
    </row>
    <row r="56" spans="1:23" x14ac:dyDescent="0.35">
      <c r="A56" s="28" t="s">
        <v>95</v>
      </c>
      <c r="B56" s="4" t="s">
        <v>267</v>
      </c>
      <c r="C56" s="13">
        <v>200</v>
      </c>
      <c r="D56" s="22"/>
      <c r="E56" s="13">
        <v>200</v>
      </c>
      <c r="F56" s="27">
        <f>IF(D56=0,E56,IF(AND(E56=0,I56="A"),D56,IF(E56&gt;D56,E56, IF(E56/D56&gt;0.73,D56,E56))))</f>
        <v>200</v>
      </c>
      <c r="G56" s="22"/>
      <c r="H56" s="26"/>
      <c r="I56" s="13"/>
      <c r="J56" s="13"/>
      <c r="K56" s="27">
        <f>IF(H56="",0,IF(J56&gt;0,0,IF(H56="A",G56,IF(H56="M",G56*12,IF(H56="W",G56*(Lookups!$B$9+1),IF(H56="B",G56*(+Lookups!$B$10),IF(H56="S",G56*2,IF(AND(G56=0,J56&gt;0),J56,"ERROR"))))))))</f>
        <v>0</v>
      </c>
      <c r="L56" s="22"/>
      <c r="M56" s="26"/>
      <c r="N56" s="13"/>
      <c r="O56" s="27">
        <f>IF(L56="",0,IF(N56&gt;0,0,IF(M56="A",L56,IF(M56="M",L56*12,IF(M56="W",L56*Lookups!B$9,IF(M56="B",L56*+Lookups!B$10,IF(M56="S",L56*2,IF(AND(L56=0,N56&gt;0),N56,"ERROR"))))))))</f>
        <v>0</v>
      </c>
      <c r="P56" s="170" t="str">
        <f t="shared" si="0"/>
        <v/>
      </c>
      <c r="Q56" s="171" t="str">
        <f>IF(AND(N56&gt;0,G56=0,L56=0),"X",IF(AND(N56&gt;0,G56&gt;0),"E",IF(P56="","",IF(P56=0,"S",IF(AND(P56&gt;0,NOT(G56=0)),"I",IF(AND(P56&gt;0,G56=0),"N",IF(P56&lt;0,"D","ERROR")))))))</f>
        <v/>
      </c>
      <c r="R56" s="156"/>
    </row>
    <row r="57" spans="1:23" x14ac:dyDescent="0.35">
      <c r="A57" s="28" t="s">
        <v>97</v>
      </c>
      <c r="B57" s="4" t="s">
        <v>98</v>
      </c>
      <c r="C57" s="13">
        <v>1300</v>
      </c>
      <c r="D57" s="22">
        <v>2340</v>
      </c>
      <c r="E57" s="13">
        <v>1755</v>
      </c>
      <c r="F57" s="27">
        <f>IF(D57=0,E57,IF(AND(E57=0,I57="A"),D57,IF(E57&gt;D57,E57, IF(E57/D57&gt;0.73,D57,E57))))</f>
        <v>2340</v>
      </c>
      <c r="G57" s="22">
        <v>50</v>
      </c>
      <c r="H57" s="26" t="s">
        <v>45</v>
      </c>
      <c r="I57" s="13"/>
      <c r="J57" s="13"/>
      <c r="K57" s="27">
        <f>IF(H57="",0,IF(J57&gt;0,0,IF(H57="A",G57,IF(H57="M",G57*12,IF(H57="W",G57*(Lookups!$B$9+1),IF(H57="B",G57*(+Lookups!$B$10),IF(H57="S",G57*2,IF(AND(G57=0,J57&gt;0),J57,"ERROR"))))))))</f>
        <v>2650</v>
      </c>
      <c r="L57" s="22"/>
      <c r="M57" s="26"/>
      <c r="N57" s="13"/>
      <c r="O57" s="27">
        <f>IF(L57="",0,IF(N57&gt;0,0,IF(M57="A",L57,IF(M57="M",L57*12,IF(M57="W",L57*Lookups!B$9,IF(M57="B",L57*+Lookups!B$10,IF(M57="S",L57*2,IF(AND(L57=0,N57&gt;0),N57,"ERROR"))))))))</f>
        <v>0</v>
      </c>
      <c r="P57" s="170">
        <f t="shared" si="0"/>
        <v>-2650</v>
      </c>
      <c r="Q57" s="171" t="str">
        <f>IF(AND(N57&gt;0,G57=0,L57=0),"X",IF(AND(N57&gt;0,G57&gt;0),"E",IF(P57="","",IF(P57=0,"S",IF(AND(P57&gt;0,NOT(G57=0)),"I",IF(AND(P57&gt;0,G57=0),"N",IF(P57&lt;0,"D","ERROR")))))))</f>
        <v>D</v>
      </c>
      <c r="R57" s="156"/>
    </row>
    <row r="58" spans="1:23" x14ac:dyDescent="0.35">
      <c r="A58" s="28" t="s">
        <v>99</v>
      </c>
      <c r="B58" s="4" t="s">
        <v>100</v>
      </c>
      <c r="C58" s="13">
        <v>1250</v>
      </c>
      <c r="D58" s="22">
        <v>1560</v>
      </c>
      <c r="E58" s="13">
        <v>780</v>
      </c>
      <c r="F58" s="27">
        <f>IF(D58=0,E58,IF(AND(E58=0,I58="A"),D58,IF(E58&gt;D58,E58, IF(E58/D58&gt;0.73,D58,E58))))</f>
        <v>780</v>
      </c>
      <c r="G58" s="22">
        <v>35</v>
      </c>
      <c r="H58" s="26" t="s">
        <v>45</v>
      </c>
      <c r="I58" s="13"/>
      <c r="J58" s="13"/>
      <c r="K58" s="27">
        <f>IF(H58="",0,IF(J58&gt;0,0,IF(H58="A",G58,IF(H58="M",G58*12,IF(H58="W",G58*(Lookups!$B$9+1),IF(H58="B",G58*(+Lookups!$B$10),IF(H58="S",G58*2,IF(AND(G58=0,J58&gt;0),J58,"ERROR"))))))))</f>
        <v>1855</v>
      </c>
      <c r="L58" s="22">
        <v>40</v>
      </c>
      <c r="M58" s="26" t="s">
        <v>45</v>
      </c>
      <c r="N58" s="13"/>
      <c r="O58" s="27">
        <f>IF(L58="",0,IF(N58&gt;0,0,IF(M58="A",L58,IF(M58="M",L58*12,IF(M58="W",L58*Lookups!B$9,IF(M58="B",L58*+Lookups!B$10,IF(M58="S",L58*2,IF(AND(L58=0,N58&gt;0),N58,"ERROR"))))))))</f>
        <v>2080</v>
      </c>
      <c r="P58" s="170">
        <f t="shared" si="0"/>
        <v>225</v>
      </c>
      <c r="Q58" s="171" t="str">
        <f>IF(AND(N58&gt;0,G58=0,L58=0),"X",IF(AND(N58&gt;0,G58&gt;0),"E",IF(P58="","",IF(P58=0,"S",IF(AND(P58&gt;0,NOT(G58=0)),"I",IF(AND(P58&gt;0,G58=0),"N",IF(P58&lt;0,"D","ERROR")))))))</f>
        <v>I</v>
      </c>
      <c r="R58" s="156"/>
      <c r="T58" s="70" t="s">
        <v>451</v>
      </c>
      <c r="U58" s="70" t="s">
        <v>413</v>
      </c>
      <c r="V58" s="71" t="s">
        <v>414</v>
      </c>
      <c r="W58" s="72">
        <v>53406</v>
      </c>
    </row>
    <row r="59" spans="1:23" x14ac:dyDescent="0.35">
      <c r="A59" s="28" t="s">
        <v>101</v>
      </c>
      <c r="B59" s="4" t="s">
        <v>540</v>
      </c>
      <c r="C59" s="13">
        <v>3000</v>
      </c>
      <c r="D59" s="22">
        <v>2400</v>
      </c>
      <c r="E59" s="13">
        <v>3743.75</v>
      </c>
      <c r="F59" s="27">
        <f>IF(D59=0,E59,IF(AND(E59=0,I59="A"),D59,IF(E59&gt;D59,E59, IF(E59/D59&gt;0.73,D59,E59))))</f>
        <v>3743.75</v>
      </c>
      <c r="G59" s="22">
        <v>3000</v>
      </c>
      <c r="H59" s="26" t="s">
        <v>42</v>
      </c>
      <c r="I59" s="13"/>
      <c r="J59" s="13"/>
      <c r="K59" s="27">
        <f>IF(H59="",0,IF(J59&gt;0,0,IF(H59="A",G59,IF(H59="M",G59*12,IF(H59="W",G59*(Lookups!$B$9+1),IF(H59="B",G59*(+Lookups!$B$10),IF(H59="S",G59*2,IF(AND(G59=0,J59&gt;0),J59,"ERROR"))))))))</f>
        <v>3000</v>
      </c>
      <c r="L59" s="22">
        <v>5000</v>
      </c>
      <c r="M59" s="26" t="s">
        <v>42</v>
      </c>
      <c r="N59" s="13"/>
      <c r="O59" s="27">
        <f>IF(L59="",0,IF(N59&gt;0,0,IF(M59="A",L59,IF(M59="M",L59*12,IF(M59="W",L59*Lookups!B$9,IF(M59="B",L59*+Lookups!B$10,IF(M59="S",L59*2,IF(AND(L59=0,N59&gt;0),N59,"ERROR"))))))))</f>
        <v>5000</v>
      </c>
      <c r="P59" s="170">
        <f t="shared" si="0"/>
        <v>2000</v>
      </c>
      <c r="Q59" s="171" t="str">
        <f>IF(AND(N59&gt;0,G59=0,L59=0),"X",IF(AND(N59&gt;0,G59&gt;0),"E",IF(P59="","",IF(P59=0,"S",IF(AND(P59&gt;0,NOT(G59=0)),"I",IF(AND(P59&gt;0,G59=0),"N",IF(P59&lt;0,"D","ERROR")))))))</f>
        <v>I</v>
      </c>
      <c r="R59" s="156"/>
      <c r="S59" s="69" t="s">
        <v>452</v>
      </c>
      <c r="T59" s="70" t="s">
        <v>453</v>
      </c>
      <c r="U59" s="70" t="s">
        <v>437</v>
      </c>
      <c r="V59" s="71" t="s">
        <v>414</v>
      </c>
      <c r="W59" s="72">
        <v>53402</v>
      </c>
    </row>
    <row r="60" spans="1:23" x14ac:dyDescent="0.35">
      <c r="A60" s="28" t="s">
        <v>102</v>
      </c>
      <c r="B60" s="4" t="s">
        <v>103</v>
      </c>
      <c r="C60" s="13">
        <v>260</v>
      </c>
      <c r="D60" s="22">
        <v>260</v>
      </c>
      <c r="E60" s="13">
        <v>200</v>
      </c>
      <c r="F60" s="27">
        <f>IF(D60=0,E60,IF(AND(E60=0,I60="A"),D60,IF(E60&gt;D60,E60, IF(E60/D60&gt;0.73,D60,E60))))</f>
        <v>260</v>
      </c>
      <c r="G60" s="22">
        <v>5</v>
      </c>
      <c r="H60" s="26" t="s">
        <v>45</v>
      </c>
      <c r="I60" s="13"/>
      <c r="J60" s="13"/>
      <c r="K60" s="27">
        <f>IF(H60="",0,IF(J60&gt;0,0,IF(H60="A",G60,IF(H60="M",G60*12,IF(H60="W",G60*(Lookups!$B$9+1),IF(H60="B",G60*(+Lookups!$B$10),IF(H60="S",G60*2,IF(AND(G60=0,J60&gt;0),J60,"ERROR"))))))))</f>
        <v>265</v>
      </c>
      <c r="L60" s="22"/>
      <c r="M60" s="26"/>
      <c r="N60" s="13"/>
      <c r="O60" s="27">
        <f>IF(L60="",0,IF(N60&gt;0,0,IF(M60="A",L60,IF(M60="M",L60*12,IF(M60="W",L60*Lookups!B$9,IF(M60="B",L60*+Lookups!B$10,IF(M60="S",L60*2,IF(AND(L60=0,N60&gt;0),N60,"ERROR"))))))))</f>
        <v>0</v>
      </c>
      <c r="P60" s="170">
        <f t="shared" si="0"/>
        <v>-265</v>
      </c>
      <c r="Q60" s="171" t="str">
        <f>IF(AND(N60&gt;0,G60=0,L60=0),"X",IF(AND(N60&gt;0,G60&gt;0),"E",IF(P60="","",IF(P60=0,"S",IF(AND(P60&gt;0,NOT(G60=0)),"I",IF(AND(P60&gt;0,G60=0),"N",IF(P60&lt;0,"D","ERROR")))))))</f>
        <v>D</v>
      </c>
      <c r="R60" s="156"/>
      <c r="S60" s="69" t="s">
        <v>454</v>
      </c>
      <c r="T60" s="70" t="s">
        <v>455</v>
      </c>
      <c r="U60" s="70" t="s">
        <v>437</v>
      </c>
      <c r="V60" s="71" t="s">
        <v>414</v>
      </c>
      <c r="W60" s="72">
        <v>53402</v>
      </c>
    </row>
    <row r="61" spans="1:23" x14ac:dyDescent="0.35">
      <c r="A61" s="28" t="s">
        <v>268</v>
      </c>
      <c r="B61" s="4" t="s">
        <v>269</v>
      </c>
      <c r="C61" s="13">
        <v>45</v>
      </c>
      <c r="D61" s="22"/>
      <c r="E61" s="13">
        <v>35</v>
      </c>
      <c r="F61" s="27">
        <f>IF(D61=0,E61,IF(AND(E61=0,I61="A"),D61,IF(E61&gt;D61,E61, IF(E61/D61&gt;0.73,D61,E61))))</f>
        <v>35</v>
      </c>
      <c r="G61" s="22"/>
      <c r="H61" s="26"/>
      <c r="I61" s="13"/>
      <c r="J61" s="13"/>
      <c r="K61" s="27">
        <f>IF(H61="",0,IF(J61&gt;0,0,IF(H61="A",G61,IF(H61="M",G61*12,IF(H61="W",G61*(Lookups!$B$9+1),IF(H61="B",G61*(+Lookups!$B$10),IF(H61="S",G61*2,IF(AND(G61=0,J61&gt;0),J61,"ERROR"))))))))</f>
        <v>0</v>
      </c>
      <c r="L61" s="22"/>
      <c r="M61" s="26"/>
      <c r="N61" s="13"/>
      <c r="O61" s="27">
        <f>IF(L61="",0,IF(N61&gt;0,0,IF(M61="A",L61,IF(M61="M",L61*12,IF(M61="W",L61*Lookups!B$9,IF(M61="B",L61*+Lookups!B$10,IF(M61="S",L61*2,IF(AND(L61=0,N61&gt;0),N61,"ERROR"))))))))</f>
        <v>0</v>
      </c>
      <c r="P61" s="170" t="str">
        <f t="shared" si="0"/>
        <v/>
      </c>
      <c r="Q61" s="171" t="str">
        <f>IF(AND(N61&gt;0,G61=0,L61=0),"X",IF(AND(N61&gt;0,G61&gt;0),"E",IF(P61="","",IF(P61=0,"S",IF(AND(P61&gt;0,NOT(G61=0)),"I",IF(AND(P61&gt;0,G61=0),"N",IF(P61&lt;0,"D","ERROR")))))))</f>
        <v/>
      </c>
      <c r="R61" s="156"/>
    </row>
    <row r="62" spans="1:23" x14ac:dyDescent="0.35">
      <c r="A62" s="28" t="s">
        <v>104</v>
      </c>
      <c r="B62" s="4" t="s">
        <v>105</v>
      </c>
      <c r="C62" s="13">
        <v>3000</v>
      </c>
      <c r="D62" s="22">
        <v>3600</v>
      </c>
      <c r="E62" s="13">
        <v>2700</v>
      </c>
      <c r="F62" s="27">
        <f>IF(D62=0,E62,IF(AND(E62=0,I62="A"),D62,IF(E62&gt;D62,E62, IF(E62/D62&gt;0.73,D62,E62))))</f>
        <v>3600</v>
      </c>
      <c r="G62" s="22"/>
      <c r="H62" s="26" t="s">
        <v>46</v>
      </c>
      <c r="I62" s="13"/>
      <c r="J62" s="13">
        <v>3600</v>
      </c>
      <c r="K62" s="27">
        <f>IF(H62="",0,IF(J62&gt;0,0,IF(H62="A",G62,IF(H62="M",G62*12,IF(H62="W",G62*(Lookups!$B$9+1),IF(H62="B",G62*(+Lookups!$B$10),IF(H62="S",G62*2,IF(AND(G62=0,J62&gt;0),J62,"ERROR"))))))))</f>
        <v>0</v>
      </c>
      <c r="L62" s="22"/>
      <c r="M62" s="26"/>
      <c r="N62" s="13"/>
      <c r="O62" s="27">
        <f>IF(L62="",0,IF(N62&gt;0,0,IF(M62="A",L62,IF(M62="M",L62*12,IF(M62="W",L62*Lookups!B$9,IF(M62="B",L62*+Lookups!B$10,IF(M62="S",L62*2,IF(AND(L62=0,N62&gt;0),N62,"ERROR"))))))))</f>
        <v>0</v>
      </c>
      <c r="P62" s="170" t="str">
        <f t="shared" si="0"/>
        <v/>
      </c>
      <c r="Q62" s="171" t="str">
        <f>IF(AND(N62&gt;0,G62=0,L62=0),"X",IF(AND(N62&gt;0,G62&gt;0),"E",IF(P62="","",IF(P62=0,"S",IF(AND(P62&gt;0,NOT(G62=0)),"I",IF(AND(P62&gt;0,G62=0),"N",IF(P62&lt;0,"D","ERROR")))))))</f>
        <v/>
      </c>
      <c r="R62" s="156"/>
    </row>
    <row r="63" spans="1:23" x14ac:dyDescent="0.35">
      <c r="A63" s="28" t="s">
        <v>270</v>
      </c>
      <c r="B63" s="4" t="s">
        <v>271</v>
      </c>
      <c r="C63" s="13">
        <v>300</v>
      </c>
      <c r="D63" s="22"/>
      <c r="E63" s="13">
        <v>225</v>
      </c>
      <c r="F63" s="27">
        <f>IF(D63=0,E63,IF(AND(E63=0,I63="A"),D63,IF(E63&gt;D63,E63, IF(E63/D63&gt;0.73,D63,E63))))</f>
        <v>225</v>
      </c>
      <c r="G63" s="22"/>
      <c r="H63" s="26"/>
      <c r="I63" s="13"/>
      <c r="J63" s="13">
        <v>300</v>
      </c>
      <c r="K63" s="27">
        <f>IF(H63="",0,IF(J63&gt;0,0,IF(H63="A",G63,IF(H63="M",G63*12,IF(H63="W",G63*(Lookups!$B$9+1),IF(H63="B",G63*(+Lookups!$B$10),IF(H63="S",G63*2,IF(AND(G63=0,J63&gt;0),J63,"ERROR"))))))))</f>
        <v>0</v>
      </c>
      <c r="L63" s="22"/>
      <c r="M63" s="26"/>
      <c r="N63" s="13"/>
      <c r="O63" s="27">
        <f>IF(L63="",0,IF(N63&gt;0,0,IF(M63="A",L63,IF(M63="M",L63*12,IF(M63="W",L63*Lookups!B$9,IF(M63="B",L63*+Lookups!B$10,IF(M63="S",L63*2,IF(AND(L63=0,N63&gt;0),N63,"ERROR"))))))))</f>
        <v>0</v>
      </c>
      <c r="P63" s="170" t="str">
        <f t="shared" si="0"/>
        <v/>
      </c>
      <c r="Q63" s="171" t="str">
        <f>IF(AND(N63&gt;0,G63=0,L63=0),"X",IF(AND(N63&gt;0,G63&gt;0),"E",IF(P63="","",IF(P63=0,"S",IF(AND(P63&gt;0,NOT(G63=0)),"I",IF(AND(P63&gt;0,G63=0),"N",IF(P63&lt;0,"D","ERROR")))))))</f>
        <v/>
      </c>
      <c r="R63" s="156"/>
    </row>
    <row r="64" spans="1:23" ht="14" customHeight="1" x14ac:dyDescent="0.35">
      <c r="A64" s="28" t="s">
        <v>272</v>
      </c>
      <c r="B64" s="4" t="s">
        <v>273</v>
      </c>
      <c r="C64" s="13">
        <v>20</v>
      </c>
      <c r="D64" s="22"/>
      <c r="E64" s="13"/>
      <c r="F64" s="27">
        <f>IF(D64=0,E64,IF(AND(E64=0,I64="A"),D64,IF(E64&gt;D64,E64, IF(E64/D64&gt;0.73,D64,E64))))</f>
        <v>0</v>
      </c>
      <c r="G64" s="22"/>
      <c r="H64" s="26"/>
      <c r="I64" s="13"/>
      <c r="J64" s="13"/>
      <c r="K64" s="27">
        <f>IF(H64="",0,IF(J64&gt;0,0,IF(H64="A",G64,IF(H64="M",G64*12,IF(H64="W",G64*(Lookups!$B$9+1),IF(H64="B",G64*(+Lookups!$B$10),IF(H64="S",G64*2,IF(AND(G64=0,J64&gt;0),J64,"ERROR"))))))))</f>
        <v>0</v>
      </c>
      <c r="L64" s="22"/>
      <c r="M64" s="26"/>
      <c r="N64" s="13"/>
      <c r="O64" s="27">
        <f>IF(L64="",0,IF(N64&gt;0,0,IF(M64="A",L64,IF(M64="M",L64*12,IF(M64="W",L64*Lookups!B$9,IF(M64="B",L64*+Lookups!B$10,IF(M64="S",L64*2,IF(AND(L64=0,N64&gt;0),N64,"ERROR"))))))))</f>
        <v>0</v>
      </c>
      <c r="P64" s="170" t="str">
        <f t="shared" si="0"/>
        <v/>
      </c>
      <c r="Q64" s="171" t="str">
        <f>IF(AND(N64&gt;0,G64=0,L64=0),"X",IF(AND(N64&gt;0,G64&gt;0),"E",IF(P64="","",IF(P64=0,"S",IF(AND(P64&gt;0,NOT(G64=0)),"I",IF(AND(P64&gt;0,G64=0),"N",IF(P64&lt;0,"D","ERROR")))))))</f>
        <v/>
      </c>
      <c r="R64" s="156"/>
    </row>
    <row r="65" spans="1:23" x14ac:dyDescent="0.35">
      <c r="A65" s="28" t="s">
        <v>384</v>
      </c>
      <c r="B65" s="4" t="s">
        <v>385</v>
      </c>
      <c r="C65" s="13"/>
      <c r="D65" s="22"/>
      <c r="E65" s="13">
        <v>625</v>
      </c>
      <c r="F65" s="27">
        <f>IF(D65=0,E65,IF(AND(E65=0,I65="A"),D65,IF(E65&gt;D65,E65, IF(E65/D65&gt;0.73,D65,E65))))</f>
        <v>625</v>
      </c>
      <c r="G65" s="22"/>
      <c r="H65" s="26"/>
      <c r="I65" s="13"/>
      <c r="J65" s="13">
        <v>800</v>
      </c>
      <c r="K65" s="27">
        <f>IF(H65="",0,IF(J65&gt;0,0,IF(H65="A",G65,IF(H65="M",G65*12,IF(H65="W",G65*(Lookups!$B$9+1),IF(H65="B",G65*(+Lookups!$B$10),IF(H65="S",G65*2,IF(AND(G65=0,J65&gt;0),J65,"ERROR"))))))))</f>
        <v>0</v>
      </c>
      <c r="L65" s="22"/>
      <c r="M65" s="26"/>
      <c r="N65" s="13"/>
      <c r="O65" s="27">
        <f>IF(L65="",0,IF(N65&gt;0,0,IF(M65="A",L65,IF(M65="M",L65*12,IF(M65="W",L65*Lookups!B$9,IF(M65="B",L65*+Lookups!B$10,IF(M65="S",L65*2,IF(AND(L65=0,N65&gt;0),N65,"ERROR"))))))))</f>
        <v>0</v>
      </c>
      <c r="P65" s="170" t="str">
        <f t="shared" si="0"/>
        <v/>
      </c>
      <c r="Q65" s="171" t="str">
        <f>IF(AND(N65&gt;0,G65=0,L65=0),"X",IF(AND(N65&gt;0,G65&gt;0),"E",IF(P65="","",IF(P65=0,"S",IF(AND(P65&gt;0,NOT(G65=0)),"I",IF(AND(P65&gt;0,G65=0),"N",IF(P65&lt;0,"D","ERROR")))))))</f>
        <v/>
      </c>
      <c r="R65" s="156"/>
    </row>
    <row r="66" spans="1:23" x14ac:dyDescent="0.35">
      <c r="A66" s="28" t="s">
        <v>106</v>
      </c>
      <c r="B66" s="4" t="s">
        <v>107</v>
      </c>
      <c r="C66" s="13">
        <v>7200</v>
      </c>
      <c r="D66" s="22">
        <v>7200</v>
      </c>
      <c r="E66" s="13">
        <v>5400</v>
      </c>
      <c r="F66" s="27">
        <f>IF(D66=0,E66,IF(AND(E66=0,I66="A"),D66,IF(E66&gt;D66,E66, IF(E66/D66&gt;0.73,D66,E66))))</f>
        <v>7200</v>
      </c>
      <c r="G66" s="22">
        <v>600</v>
      </c>
      <c r="H66" s="26" t="s">
        <v>46</v>
      </c>
      <c r="I66" s="13"/>
      <c r="J66" s="13"/>
      <c r="K66" s="27">
        <f>IF(H66="",0,IF(J66&gt;0,0,IF(H66="A",G66,IF(H66="M",G66*12,IF(H66="W",G66*(Lookups!$B$9+1),IF(H66="B",G66*(+Lookups!$B$10),IF(H66="S",G66*2,IF(AND(G66=0,J66&gt;0),J66,"ERROR"))))))))</f>
        <v>7200</v>
      </c>
      <c r="L66" s="22">
        <v>600</v>
      </c>
      <c r="M66" s="26" t="s">
        <v>46</v>
      </c>
      <c r="N66" s="13"/>
      <c r="O66" s="27">
        <f>IF(L66="",0,IF(N66&gt;0,0,IF(M66="A",L66,IF(M66="M",L66*12,IF(M66="W",L66*Lookups!B$9,IF(M66="B",L66*+Lookups!B$10,IF(M66="S",L66*2,IF(AND(L66=0,N66&gt;0),N66,"ERROR"))))))))</f>
        <v>7200</v>
      </c>
      <c r="P66" s="170">
        <f t="shared" si="0"/>
        <v>0</v>
      </c>
      <c r="Q66" s="171" t="str">
        <f>IF(AND(N66&gt;0,G66=0,L66=0),"X",IF(AND(N66&gt;0,G66&gt;0),"E",IF(P66="","",IF(P66=0,"S",IF(AND(P66&gt;0,NOT(G66=0)),"I",IF(AND(P66&gt;0,G66=0),"N",IF(P66&lt;0,"D","ERROR")))))))</f>
        <v>S</v>
      </c>
      <c r="R66" s="156"/>
      <c r="S66" s="69" t="s">
        <v>566</v>
      </c>
      <c r="T66" s="70" t="s">
        <v>567</v>
      </c>
      <c r="U66" s="70" t="s">
        <v>437</v>
      </c>
      <c r="V66" s="71" t="s">
        <v>414</v>
      </c>
      <c r="W66" s="72">
        <v>53406</v>
      </c>
    </row>
    <row r="67" spans="1:23" x14ac:dyDescent="0.35">
      <c r="A67" s="28" t="s">
        <v>108</v>
      </c>
      <c r="B67" s="4" t="s">
        <v>109</v>
      </c>
      <c r="C67" s="13">
        <v>280</v>
      </c>
      <c r="D67" s="22">
        <v>1040</v>
      </c>
      <c r="E67" s="13">
        <v>780</v>
      </c>
      <c r="F67" s="27">
        <f>IF(D67=0,E67,IF(AND(E67=0,I67="A"),D67,IF(E67&gt;D67,E67, IF(E67/D67&gt;0.73,D67,E67))))</f>
        <v>1040</v>
      </c>
      <c r="G67" s="22">
        <v>25</v>
      </c>
      <c r="H67" s="26" t="s">
        <v>45</v>
      </c>
      <c r="I67" s="13"/>
      <c r="J67" s="13"/>
      <c r="K67" s="27">
        <f>IF(H67="",0,IF(J67&gt;0,0,IF(H67="A",G67,IF(H67="M",G67*12,IF(H67="W",G67*(Lookups!$B$9+1),IF(H67="B",G67*(+Lookups!$B$10),IF(H67="S",G67*2,IF(AND(G67=0,J67&gt;0),J67,"ERROR"))))))))</f>
        <v>1325</v>
      </c>
      <c r="L67" s="22"/>
      <c r="M67" s="26"/>
      <c r="N67" s="13"/>
      <c r="O67" s="27">
        <f>IF(L67="",0,IF(N67&gt;0,0,IF(M67="A",L67,IF(M67="M",L67*12,IF(M67="W",L67*Lookups!B$9,IF(M67="B",L67*+Lookups!B$10,IF(M67="S",L67*2,IF(AND(L67=0,N67&gt;0),N67,"ERROR"))))))))</f>
        <v>0</v>
      </c>
      <c r="P67" s="170">
        <f t="shared" si="0"/>
        <v>-1325</v>
      </c>
      <c r="Q67" s="171" t="str">
        <f>IF(AND(N67&gt;0,G67=0,L67=0),"X",IF(AND(N67&gt;0,G67&gt;0),"E",IF(P67="","",IF(P67=0,"S",IF(AND(P67&gt;0,NOT(G67=0)),"I",IF(AND(P67&gt;0,G67=0),"N",IF(P67&lt;0,"D","ERROR")))))))</f>
        <v>D</v>
      </c>
      <c r="R67" s="156"/>
      <c r="S67" s="69" t="s">
        <v>456</v>
      </c>
      <c r="T67" s="70" t="s">
        <v>457</v>
      </c>
      <c r="U67" s="70" t="s">
        <v>437</v>
      </c>
      <c r="V67" s="71" t="s">
        <v>414</v>
      </c>
      <c r="W67" s="72">
        <v>53403</v>
      </c>
    </row>
    <row r="68" spans="1:23" x14ac:dyDescent="0.35">
      <c r="A68" s="28" t="s">
        <v>110</v>
      </c>
      <c r="B68" s="4" t="s">
        <v>22</v>
      </c>
      <c r="C68" s="13">
        <v>670</v>
      </c>
      <c r="D68" s="22">
        <v>720</v>
      </c>
      <c r="E68" s="13">
        <v>540</v>
      </c>
      <c r="F68" s="27">
        <f>IF(D68=0,E68,IF(AND(E68=0,I68="A"),D68,IF(E68&gt;D68,E68, IF(E68/D68&gt;0.73,D68,E68))))</f>
        <v>720</v>
      </c>
      <c r="G68" s="22">
        <v>65</v>
      </c>
      <c r="H68" s="26" t="s">
        <v>46</v>
      </c>
      <c r="I68" s="13"/>
      <c r="J68" s="13"/>
      <c r="K68" s="27">
        <f>IF(H68="",0,IF(J68&gt;0,0,IF(H68="A",G68,IF(H68="M",G68*12,IF(H68="W",G68*(Lookups!$B$9+1),IF(H68="B",G68*(+Lookups!$B$10),IF(H68="S",G68*2,IF(AND(G68=0,J68&gt;0),J68,"ERROR"))))))))</f>
        <v>780</v>
      </c>
      <c r="L68" s="22">
        <v>70</v>
      </c>
      <c r="M68" s="26" t="s">
        <v>46</v>
      </c>
      <c r="N68" s="13"/>
      <c r="O68" s="27">
        <f>IF(L68="",0,IF(N68&gt;0,0,IF(M68="A",L68,IF(M68="M",L68*12,IF(M68="W",L68*Lookups!B$9,IF(M68="B",L68*+Lookups!B$10,IF(M68="S",L68*2,IF(AND(L68=0,N68&gt;0),N68,"ERROR"))))))))</f>
        <v>840</v>
      </c>
      <c r="P68" s="170">
        <f t="shared" si="0"/>
        <v>60</v>
      </c>
      <c r="Q68" s="171" t="str">
        <f>IF(AND(N68&gt;0,G68=0,L68=0),"X",IF(AND(N68&gt;0,G68&gt;0),"E",IF(P68="","",IF(P68=0,"S",IF(AND(P68&gt;0,NOT(G68=0)),"I",IF(AND(P68&gt;0,G68=0),"N",IF(P68&lt;0,"D","ERROR")))))))</f>
        <v>I</v>
      </c>
      <c r="R68" s="156"/>
      <c r="S68" s="69" t="s">
        <v>458</v>
      </c>
      <c r="T68" s="70" t="s">
        <v>459</v>
      </c>
      <c r="U68" s="70" t="s">
        <v>413</v>
      </c>
      <c r="V68" s="71" t="s">
        <v>414</v>
      </c>
      <c r="W68" s="72">
        <v>53406</v>
      </c>
    </row>
    <row r="69" spans="1:23" ht="29" x14ac:dyDescent="0.35">
      <c r="A69" s="28" t="s">
        <v>111</v>
      </c>
      <c r="B69" s="4" t="s">
        <v>112</v>
      </c>
      <c r="C69" s="13">
        <v>2700</v>
      </c>
      <c r="D69" s="22">
        <v>2940</v>
      </c>
      <c r="E69" s="13">
        <v>2030</v>
      </c>
      <c r="F69" s="27">
        <f>IF(D69=0,E69,IF(AND(E69=0,I69="A"),D69,IF(E69&gt;D69,E69, IF(E69/D69&gt;0.73,D69,E69))))</f>
        <v>2030</v>
      </c>
      <c r="G69" s="22">
        <v>250</v>
      </c>
      <c r="H69" s="26" t="s">
        <v>46</v>
      </c>
      <c r="I69" s="13"/>
      <c r="J69" s="13"/>
      <c r="K69" s="27">
        <f>IF(H69="",0,IF(J69&gt;0,0,IF(H69="A",G69,IF(H69="M",G69*12,IF(H69="W",G69*(Lookups!$B$9+1),IF(H69="B",G69*(+Lookups!$B$10),IF(H69="S",G69*2,IF(AND(G69=0,J69&gt;0),J69,"ERROR"))))))))</f>
        <v>3000</v>
      </c>
      <c r="L69" s="22">
        <v>250</v>
      </c>
      <c r="M69" s="26" t="s">
        <v>46</v>
      </c>
      <c r="N69" s="13"/>
      <c r="O69" s="27">
        <f>IF(L69="",0,IF(N69&gt;0,0,IF(M69="A",L69,IF(M69="M",L69*12,IF(M69="W",L69*Lookups!B$9,IF(M69="B",L69*+Lookups!B$10,IF(M69="S",L69*2,IF(AND(L69=0,N69&gt;0),N69,"ERROR"))))))))</f>
        <v>3000</v>
      </c>
      <c r="P69" s="170">
        <f t="shared" ref="P69:P135" si="1">IF(AND(O69=0,G69=0),"",IF(N69&gt;0,"",ROUND(+O69-K69,0)))</f>
        <v>0</v>
      </c>
      <c r="Q69" s="171" t="str">
        <f>IF(AND(N69&gt;0,G69=0,L69=0),"X",IF(AND(N69&gt;0,G69&gt;0),"E",IF(P69="","",IF(P69=0,"S",IF(AND(P69&gt;0,NOT(G69=0)),"I",IF(AND(P69&gt;0,G69=0),"N",IF(P69&lt;0,"D","ERROR")))))))</f>
        <v>S</v>
      </c>
      <c r="R69" s="156"/>
      <c r="S69" s="153" t="s">
        <v>568</v>
      </c>
      <c r="T69" s="70" t="s">
        <v>460</v>
      </c>
      <c r="U69" s="70" t="s">
        <v>413</v>
      </c>
      <c r="V69" s="71" t="s">
        <v>414</v>
      </c>
      <c r="W69" s="72">
        <v>53406</v>
      </c>
    </row>
    <row r="70" spans="1:23" ht="29" x14ac:dyDescent="0.35">
      <c r="A70" s="28" t="s">
        <v>113</v>
      </c>
      <c r="B70" s="4" t="s">
        <v>461</v>
      </c>
      <c r="C70" s="13">
        <v>2000</v>
      </c>
      <c r="D70" s="22">
        <v>2000</v>
      </c>
      <c r="E70" s="13">
        <v>2000</v>
      </c>
      <c r="F70" s="27">
        <f>IF(D70=0,E70,IF(AND(E70=0,I70="A"),D70,IF(E70&gt;D70,E70, IF(E70/D70&gt;0.73,D70,E70))))</f>
        <v>2000</v>
      </c>
      <c r="G70" s="22">
        <v>2000</v>
      </c>
      <c r="H70" s="26" t="s">
        <v>42</v>
      </c>
      <c r="I70" s="13"/>
      <c r="J70" s="13"/>
      <c r="K70" s="27">
        <f>IF(H70="",0,IF(J70&gt;0,0,IF(H70="A",G70,IF(H70="M",G70*12,IF(H70="W",G70*(Lookups!$B$9+1),IF(H70="B",G70*(+Lookups!$B$10),IF(H70="S",G70*2,IF(AND(G70=0,J70&gt;0),J70,"ERROR"))))))))</f>
        <v>2000</v>
      </c>
      <c r="L70" s="22">
        <v>2000</v>
      </c>
      <c r="M70" s="26" t="s">
        <v>42</v>
      </c>
      <c r="N70" s="13"/>
      <c r="O70" s="27">
        <f>IF(L70="",0,IF(N70&gt;0,0,IF(M70="A",L70,IF(M70="M",L70*12,IF(M70="W",L70*Lookups!B$9,IF(M70="B",L70*+Lookups!B$10,IF(M70="S",L70*2,IF(AND(L70=0,N70&gt;0),N70,"ERROR"))))))))</f>
        <v>2000</v>
      </c>
      <c r="P70" s="170">
        <f t="shared" si="1"/>
        <v>0</v>
      </c>
      <c r="Q70" s="171" t="str">
        <f>IF(AND(N70&gt;0,G70=0,L70=0),"X",IF(AND(N70&gt;0,G70&gt;0),"E",IF(P70="","",IF(P70=0,"S",IF(AND(P70&gt;0,NOT(G70=0)),"I",IF(AND(P70&gt;0,G70=0),"N",IF(P70&lt;0,"D","ERROR")))))))</f>
        <v>S</v>
      </c>
      <c r="R70" s="164" t="s">
        <v>577</v>
      </c>
      <c r="S70" s="69" t="s">
        <v>462</v>
      </c>
      <c r="T70" s="70" t="s">
        <v>463</v>
      </c>
      <c r="U70" s="70" t="s">
        <v>413</v>
      </c>
      <c r="V70" s="71" t="s">
        <v>414</v>
      </c>
      <c r="W70" s="72">
        <v>53406</v>
      </c>
    </row>
    <row r="71" spans="1:23" x14ac:dyDescent="0.35">
      <c r="A71" s="28" t="s">
        <v>115</v>
      </c>
      <c r="B71" s="4" t="s">
        <v>116</v>
      </c>
      <c r="C71" s="13">
        <v>729</v>
      </c>
      <c r="D71" s="22">
        <v>728</v>
      </c>
      <c r="E71" s="13">
        <v>556</v>
      </c>
      <c r="F71" s="27">
        <f>IF(D71=0,E71,IF(AND(E71=0,I71="A"),D71,IF(E71&gt;D71,E71, IF(E71/D71&gt;0.73,D71,E71))))</f>
        <v>728</v>
      </c>
      <c r="G71" s="22">
        <v>754</v>
      </c>
      <c r="H71" s="26" t="s">
        <v>42</v>
      </c>
      <c r="I71" s="13"/>
      <c r="J71" s="13"/>
      <c r="K71" s="27">
        <f>IF(H71="",0,IF(J71&gt;0,0,IF(H71="A",G71,IF(H71="M",G71*12,IF(H71="W",G71*(Lookups!$B$9+1),IF(H71="B",G71*(+Lookups!$B$10),IF(H71="S",G71*2,IF(AND(G71=0,J71&gt;0),J71,"ERROR"))))))))</f>
        <v>754</v>
      </c>
      <c r="L71" s="22">
        <v>16</v>
      </c>
      <c r="M71" s="26" t="s">
        <v>45</v>
      </c>
      <c r="N71" s="13"/>
      <c r="O71" s="27">
        <f>IF(L71="",0,IF(N71&gt;0,0,IF(M71="A",L71,IF(M71="M",L71*12,IF(M71="W",L71*Lookups!B$9,IF(M71="B",L71*+Lookups!B$10,IF(M71="S",L71*2,IF(AND(L71=0,N71&gt;0),N71,"ERROR"))))))))</f>
        <v>832</v>
      </c>
      <c r="P71" s="170">
        <f t="shared" si="1"/>
        <v>78</v>
      </c>
      <c r="Q71" s="171" t="str">
        <f>IF(AND(N71&gt;0,G71=0,L71=0),"X",IF(AND(N71&gt;0,G71&gt;0),"E",IF(P71="","",IF(P71=0,"S",IF(AND(P71&gt;0,NOT(G71=0)),"I",IF(AND(P71&gt;0,G71=0),"N",IF(P71&lt;0,"D","ERROR")))))))</f>
        <v>I</v>
      </c>
      <c r="R71" s="156"/>
      <c r="S71" s="69" t="s">
        <v>569</v>
      </c>
      <c r="T71" s="70" t="s">
        <v>570</v>
      </c>
      <c r="U71" s="70" t="s">
        <v>437</v>
      </c>
      <c r="V71" s="71" t="s">
        <v>414</v>
      </c>
      <c r="W71" s="72">
        <v>53406</v>
      </c>
    </row>
    <row r="72" spans="1:23" ht="29" x14ac:dyDescent="0.35">
      <c r="A72" s="28" t="s">
        <v>117</v>
      </c>
      <c r="B72" s="4" t="s">
        <v>118</v>
      </c>
      <c r="C72" s="13">
        <v>4035</v>
      </c>
      <c r="D72" s="22">
        <v>4160</v>
      </c>
      <c r="E72" s="13">
        <v>3040</v>
      </c>
      <c r="F72" s="27">
        <f>IF(D72=0,E72,IF(AND(E72=0,I72="A"),D72,IF(E72&gt;D72,E72, IF(E72/D72&gt;0.73,D72,E72))))</f>
        <v>4160</v>
      </c>
      <c r="G72" s="22">
        <v>85</v>
      </c>
      <c r="H72" s="26" t="s">
        <v>45</v>
      </c>
      <c r="I72" s="13"/>
      <c r="J72" s="13"/>
      <c r="K72" s="27">
        <f>IF(H72="",0,IF(J72&gt;0,0,IF(H72="A",G72,IF(H72="M",G72*12,IF(H72="W",G72*(Lookups!$B$9+1),IF(H72="B",G72*(+Lookups!$B$10),IF(H72="S",G72*2,IF(AND(G72=0,J72&gt;0),J72,"ERROR"))))))))</f>
        <v>4505</v>
      </c>
      <c r="L72" s="22">
        <v>90</v>
      </c>
      <c r="M72" s="26" t="s">
        <v>45</v>
      </c>
      <c r="N72" s="13"/>
      <c r="O72" s="27">
        <f>IF(L72="",0,IF(N72&gt;0,0,IF(M72="A",L72,IF(M72="M",L72*12,IF(M72="W",L72*Lookups!B$9,IF(M72="B",L72*+Lookups!B$10,IF(M72="S",L72*2,IF(AND(L72=0,N72&gt;0),N72,"ERROR"))))))))</f>
        <v>4680</v>
      </c>
      <c r="P72" s="170">
        <f t="shared" si="1"/>
        <v>175</v>
      </c>
      <c r="Q72" s="171" t="str">
        <f>IF(AND(N72&gt;0,G72=0,L72=0),"X",IF(AND(N72&gt;0,G72&gt;0),"E",IF(P72="","",IF(P72=0,"S",IF(AND(P72&gt;0,NOT(G72=0)),"I",IF(AND(P72&gt;0,G72=0),"N",IF(P72&lt;0,"D","ERROR")))))))</f>
        <v>I</v>
      </c>
      <c r="R72" s="164" t="s">
        <v>575</v>
      </c>
      <c r="T72" s="70" t="s">
        <v>571</v>
      </c>
      <c r="U72" s="70" t="s">
        <v>437</v>
      </c>
      <c r="V72" s="71" t="s">
        <v>414</v>
      </c>
      <c r="W72" s="72">
        <v>53404</v>
      </c>
    </row>
    <row r="73" spans="1:23" x14ac:dyDescent="0.35">
      <c r="A73" s="143" t="s">
        <v>274</v>
      </c>
      <c r="B73" s="144" t="s">
        <v>275</v>
      </c>
      <c r="C73" s="145">
        <v>3050</v>
      </c>
      <c r="D73" s="146"/>
      <c r="E73" s="145"/>
      <c r="F73" s="147">
        <f>IF(D73=0,E73,IF(AND(E73=0,I73="A"),D73,IF(E73&gt;D73,E73, IF(E73/D73&gt;0.73,D73,E73))))</f>
        <v>0</v>
      </c>
      <c r="G73" s="146"/>
      <c r="H73" s="148"/>
      <c r="I73" s="145"/>
      <c r="J73" s="145"/>
      <c r="K73" s="147">
        <f>IF(H73="",0,IF(J73&gt;0,0,IF(H73="A",G73,IF(H73="M",G73*12,IF(H73="W",G73*(Lookups!$B$9+1),IF(H73="B",G73*(+Lookups!$B$10),IF(H73="S",G73*2,IF(AND(G73=0,J73&gt;0),J73,"ERROR"))))))))</f>
        <v>0</v>
      </c>
      <c r="L73" s="146"/>
      <c r="M73" s="148"/>
      <c r="N73" s="145"/>
      <c r="O73" s="147">
        <f>IF(L73="",0,IF(N73&gt;0,0,IF(M73="A",L73,IF(M73="M",L73*12,IF(M73="W",L73*Lookups!B$9,IF(M73="B",L73*+Lookups!B$10,IF(M73="S",L73*2,IF(AND(L73=0,N73&gt;0),N73,"ERROR"))))))))</f>
        <v>0</v>
      </c>
      <c r="P73" s="170" t="str">
        <f t="shared" si="1"/>
        <v/>
      </c>
      <c r="Q73" s="171" t="str">
        <f>IF(AND(N73&gt;0,G73=0,L73=0),"X",IF(AND(N73&gt;0,G73&gt;0),"E",IF(P73="","",IF(P73=0,"S",IF(AND(P73&gt;0,NOT(G73=0)),"I",IF(AND(P73&gt;0,G73=0),"N",IF(P73&lt;0,"D","ERROR")))))))</f>
        <v/>
      </c>
      <c r="R73" s="157"/>
      <c r="S73" s="149" t="s">
        <v>522</v>
      </c>
      <c r="T73" s="149"/>
      <c r="U73" s="149"/>
      <c r="V73" s="150"/>
      <c r="W73" s="151"/>
    </row>
    <row r="74" spans="1:23" x14ac:dyDescent="0.35">
      <c r="A74" s="28" t="s">
        <v>276</v>
      </c>
      <c r="B74" s="4" t="s">
        <v>162</v>
      </c>
      <c r="C74" s="13">
        <v>540</v>
      </c>
      <c r="D74" s="22"/>
      <c r="E74" s="13"/>
      <c r="F74" s="27">
        <f>IF(D74=0,E74,IF(AND(E74=0,I74="A"),D74,IF(E74&gt;D74,E74, IF(E74/D74&gt;0.73,D74,E74))))</f>
        <v>0</v>
      </c>
      <c r="G74" s="22"/>
      <c r="H74" s="26"/>
      <c r="I74" s="13"/>
      <c r="J74" s="13"/>
      <c r="K74" s="27">
        <f>IF(H74="",0,IF(J74&gt;0,0,IF(H74="A",G74,IF(H74="M",G74*12,IF(H74="W",G74*(Lookups!$B$9+1),IF(H74="B",G74*(+Lookups!$B$10),IF(H74="S",G74*2,IF(AND(G74=0,J74&gt;0),J74,"ERROR"))))))))</f>
        <v>0</v>
      </c>
      <c r="L74" s="22"/>
      <c r="M74" s="26"/>
      <c r="N74" s="13"/>
      <c r="O74" s="27">
        <f>IF(L74="",0,IF(N74&gt;0,0,IF(M74="A",L74,IF(M74="M",L74*12,IF(M74="W",L74*Lookups!B$9,IF(M74="B",L74*+Lookups!B$10,IF(M74="S",L74*2,IF(AND(L74=0,N74&gt;0),N74,"ERROR"))))))))</f>
        <v>0</v>
      </c>
      <c r="P74" s="170" t="str">
        <f t="shared" si="1"/>
        <v/>
      </c>
      <c r="Q74" s="171" t="str">
        <f>IF(AND(N74&gt;0,G74=0,L74=0),"X",IF(AND(N74&gt;0,G74&gt;0),"E",IF(P74="","",IF(P74=0,"S",IF(AND(P74&gt;0,NOT(G74=0)),"I",IF(AND(P74&gt;0,G74=0),"N",IF(P74&lt;0,"D","ERROR")))))))</f>
        <v/>
      </c>
      <c r="R74" s="156"/>
    </row>
    <row r="75" spans="1:23" x14ac:dyDescent="0.35">
      <c r="A75" s="28" t="s">
        <v>119</v>
      </c>
      <c r="B75" s="4" t="s">
        <v>69</v>
      </c>
      <c r="C75" s="13">
        <v>465</v>
      </c>
      <c r="D75" s="22">
        <v>504</v>
      </c>
      <c r="E75" s="13">
        <v>340</v>
      </c>
      <c r="F75" s="27">
        <f>IF(D75=0,E75,IF(AND(E75=0,I75="A"),D75,IF(E75&gt;D75,E75, IF(E75/D75&gt;0.73,D75,E75))))</f>
        <v>340</v>
      </c>
      <c r="G75" s="22"/>
      <c r="H75" s="26" t="s">
        <v>46</v>
      </c>
      <c r="I75" s="13"/>
      <c r="J75" s="13">
        <v>400</v>
      </c>
      <c r="K75" s="27">
        <f>IF(H75="",0,IF(J75&gt;0,0,IF(H75="A",G75,IF(H75="M",G75*12,IF(H75="W",G75*(Lookups!$B$9+1),IF(H75="B",G75*(+Lookups!$B$10),IF(H75="S",G75*2,IF(AND(G75=0,J75&gt;0),J75,"ERROR"))))))))</f>
        <v>0</v>
      </c>
      <c r="L75" s="22"/>
      <c r="M75" s="26"/>
      <c r="N75" s="13"/>
      <c r="O75" s="27">
        <f>IF(L75="",0,IF(N75&gt;0,0,IF(M75="A",L75,IF(M75="M",L75*12,IF(M75="W",L75*Lookups!B$9,IF(M75="B",L75*+Lookups!B$10,IF(M75="S",L75*2,IF(AND(L75=0,N75&gt;0),N75,"ERROR"))))))))</f>
        <v>0</v>
      </c>
      <c r="P75" s="170" t="str">
        <f t="shared" si="1"/>
        <v/>
      </c>
      <c r="Q75" s="171" t="str">
        <f>IF(AND(N75&gt;0,G75=0,L75=0),"X",IF(AND(N75&gt;0,G75&gt;0),"E",IF(P75="","",IF(P75=0,"S",IF(AND(P75&gt;0,NOT(G75=0)),"I",IF(AND(P75&gt;0,G75=0),"N",IF(P75&lt;0,"D","ERROR")))))))</f>
        <v/>
      </c>
      <c r="R75" s="156"/>
    </row>
    <row r="76" spans="1:23" ht="29" x14ac:dyDescent="0.35">
      <c r="A76" s="28" t="s">
        <v>541</v>
      </c>
      <c r="B76" s="4" t="s">
        <v>542</v>
      </c>
      <c r="C76" s="13"/>
      <c r="D76" s="22"/>
      <c r="E76" s="13"/>
      <c r="F76" s="27">
        <f>IF(D76=0,E76,IF(AND(E76=0,I76="A"),D76,IF(E76&gt;D76,E76, IF(E76/D76&gt;0.73,D76,E76))))</f>
        <v>0</v>
      </c>
      <c r="G76" s="22"/>
      <c r="H76" s="26"/>
      <c r="I76" s="13"/>
      <c r="J76" s="13"/>
      <c r="K76" s="27">
        <f>IF(H76="",0,IF(J76&gt;0,0,IF(H76="A",G76,IF(H76="M",G76*12,IF(H76="W",G76*(Lookups!$B$9+1),IF(H76="B",G76*(+Lookups!$B$10),IF(H76="S",G76*2,IF(AND(G76=0,J76&gt;0),J76,"ERROR"))))))))</f>
        <v>0</v>
      </c>
      <c r="L76" s="22">
        <v>2500</v>
      </c>
      <c r="M76" s="26" t="s">
        <v>42</v>
      </c>
      <c r="N76" s="13"/>
      <c r="O76" s="27">
        <f>IF(L76="",0,IF(N76&gt;0,0,IF(M76="A",L76,IF(M76="M",L76*12,IF(M76="W",L76*Lookups!B$9,IF(M76="B",L76*+Lookups!B$10,IF(M76="S",L76*2,IF(AND(L76=0,N76&gt;0),N76,"ERROR"))))))))</f>
        <v>2500</v>
      </c>
      <c r="P76" s="170">
        <f t="shared" ref="P76" si="2">IF(AND(O76=0,G76=0),"",IF(N76&gt;0,"",ROUND(+O76-K76,0)))</f>
        <v>2500</v>
      </c>
      <c r="Q76" s="171" t="str">
        <f>IF(AND(N76&gt;0,G76=0,L76=0),"X",IF(AND(N76&gt;0,G76&gt;0),"E",IF(P76="","",IF(P76=0,"S",IF(AND(P76&gt;0,NOT(G76=0)),"I",IF(AND(P76&gt;0,G76=0),"N",IF(P76&lt;0,"D","ERROR")))))))</f>
        <v>N</v>
      </c>
      <c r="R76" s="156"/>
      <c r="S76" s="154" t="s">
        <v>572</v>
      </c>
      <c r="T76" s="70" t="s">
        <v>573</v>
      </c>
      <c r="U76" s="70" t="s">
        <v>437</v>
      </c>
      <c r="V76" s="71" t="s">
        <v>414</v>
      </c>
      <c r="W76" s="72">
        <v>53405</v>
      </c>
    </row>
    <row r="77" spans="1:23" ht="29" x14ac:dyDescent="0.35">
      <c r="A77" s="28" t="s">
        <v>541</v>
      </c>
      <c r="B77" s="4" t="s">
        <v>543</v>
      </c>
      <c r="C77" s="13"/>
      <c r="D77" s="22"/>
      <c r="E77" s="13"/>
      <c r="F77" s="27">
        <f>IF(D77=0,E77,IF(AND(E77=0,I77="A"),D77,IF(E77&gt;D77,E77, IF(E77/D77&gt;0.73,D77,E77))))</f>
        <v>0</v>
      </c>
      <c r="G77" s="22"/>
      <c r="H77" s="26"/>
      <c r="I77" s="13"/>
      <c r="J77" s="13"/>
      <c r="K77" s="27">
        <f>IF(H77="",0,IF(J77&gt;0,0,IF(H77="A",G77,IF(H77="M",G77*12,IF(H77="W",G77*(Lookups!$B$9+1),IF(H77="B",G77*(+Lookups!$B$10),IF(H77="S",G77*2,IF(AND(G77=0,J77&gt;0),J77,"ERROR"))))))))</f>
        <v>0</v>
      </c>
      <c r="L77" s="22">
        <v>1500</v>
      </c>
      <c r="M77" s="26" t="s">
        <v>42</v>
      </c>
      <c r="N77" s="13"/>
      <c r="O77" s="27">
        <f>IF(L77="",0,IF(N77&gt;0,0,IF(M77="A",L77,IF(M77="M",L77*12,IF(M77="W",L77*Lookups!B$9,IF(M77="B",L77*+Lookups!B$10,IF(M77="S",L77*2,IF(AND(L77=0,N77&gt;0),N77,"ERROR"))))))))</f>
        <v>1500</v>
      </c>
      <c r="P77" s="170">
        <f t="shared" ref="P77" si="3">IF(AND(O77=0,G77=0),"",IF(N77&gt;0,"",ROUND(+O77-K77,0)))</f>
        <v>1500</v>
      </c>
      <c r="Q77" s="171" t="str">
        <f>IF(AND(N77&gt;0,G77=0,L77=0),"X",IF(AND(N77&gt;0,G77&gt;0),"E",IF(P77="","",IF(P77=0,"S",IF(AND(P77&gt;0,NOT(G77=0)),"I",IF(AND(P77&gt;0,G77=0),"N",IF(P77&lt;0,"D","ERROR")))))))</f>
        <v>N</v>
      </c>
      <c r="R77" s="164" t="s">
        <v>576</v>
      </c>
    </row>
    <row r="78" spans="1:23" x14ac:dyDescent="0.35">
      <c r="A78" s="143" t="s">
        <v>277</v>
      </c>
      <c r="B78" s="144" t="s">
        <v>278</v>
      </c>
      <c r="C78" s="145">
        <v>3120</v>
      </c>
      <c r="D78" s="146"/>
      <c r="E78" s="145">
        <v>100</v>
      </c>
      <c r="F78" s="147">
        <f>IF(D78=0,E78,IF(AND(E78=0,I78="A"),D78,IF(E78&gt;D78,E78, IF(E78/D78&gt;0.73,D78,E78))))</f>
        <v>100</v>
      </c>
      <c r="G78" s="146"/>
      <c r="H78" s="148"/>
      <c r="I78" s="145"/>
      <c r="J78" s="145"/>
      <c r="K78" s="147">
        <f>IF(H78="",0,IF(J78&gt;0,0,IF(H78="A",G78,IF(H78="M",G78*12,IF(H78="W",G78*(Lookups!$B$9+1),IF(H78="B",G78*(+Lookups!$B$10),IF(H78="S",G78*2,IF(AND(G78=0,J78&gt;0),J78,"ERROR"))))))))</f>
        <v>0</v>
      </c>
      <c r="L78" s="146"/>
      <c r="M78" s="148"/>
      <c r="N78" s="145"/>
      <c r="O78" s="147">
        <f>IF(L78="",0,IF(N78&gt;0,0,IF(M78="A",L78,IF(M78="M",L78*12,IF(M78="W",L78*Lookups!B$9,IF(M78="B",L78*+Lookups!B$10,IF(M78="S",L78*2,IF(AND(L78=0,N78&gt;0),N78,"ERROR"))))))))</f>
        <v>0</v>
      </c>
      <c r="P78" s="170" t="str">
        <f t="shared" si="1"/>
        <v/>
      </c>
      <c r="Q78" s="171" t="str">
        <f>IF(AND(N78&gt;0,G78=0,L78=0),"X",IF(AND(N78&gt;0,G78&gt;0),"E",IF(P78="","",IF(P78=0,"S",IF(AND(P78&gt;0,NOT(G78=0)),"I",IF(AND(P78&gt;0,G78=0),"N",IF(P78&lt;0,"D","ERROR")))))))</f>
        <v/>
      </c>
      <c r="R78" s="157"/>
      <c r="S78" s="149" t="s">
        <v>522</v>
      </c>
      <c r="T78" s="149"/>
      <c r="U78" s="149"/>
      <c r="V78" s="150"/>
      <c r="W78" s="151"/>
    </row>
    <row r="79" spans="1:23" x14ac:dyDescent="0.35">
      <c r="A79" s="28" t="s">
        <v>120</v>
      </c>
      <c r="B79" s="4" t="s">
        <v>121</v>
      </c>
      <c r="C79" s="13">
        <v>3600</v>
      </c>
      <c r="D79" s="22">
        <v>3600</v>
      </c>
      <c r="E79" s="13">
        <v>2700</v>
      </c>
      <c r="F79" s="27">
        <f>IF(D79=0,E79,IF(AND(E79=0,I79="A"),D79,IF(E79&gt;D79,E79, IF(E79/D79&gt;0.73,D79,E79))))</f>
        <v>3600</v>
      </c>
      <c r="G79" s="22">
        <v>300</v>
      </c>
      <c r="H79" s="26" t="s">
        <v>46</v>
      </c>
      <c r="I79" s="13"/>
      <c r="J79" s="13"/>
      <c r="K79" s="27">
        <f>IF(H79="",0,IF(J79&gt;0,0,IF(H79="A",G79,IF(H79="M",G79*12,IF(H79="W",G79*(Lookups!$B$9+1),IF(H79="B",G79*(+Lookups!$B$10),IF(H79="S",G79*2,IF(AND(G79=0,J79&gt;0),J79,"ERROR"))))))))</f>
        <v>3600</v>
      </c>
      <c r="L79" s="22"/>
      <c r="M79" s="26"/>
      <c r="N79" s="13"/>
      <c r="O79" s="27">
        <f>IF(L79="",0,IF(N79&gt;0,0,IF(M79="A",L79,IF(M79="M",L79*12,IF(M79="W",L79*Lookups!B$9,IF(M79="B",L79*+Lookups!B$10,IF(M79="S",L79*2,IF(AND(L79=0,N79&gt;0),N79,"ERROR"))))))))</f>
        <v>0</v>
      </c>
      <c r="P79" s="170">
        <f t="shared" si="1"/>
        <v>-3600</v>
      </c>
      <c r="Q79" s="171" t="str">
        <f>IF(AND(N79&gt;0,G79=0,L79=0),"X",IF(AND(N79&gt;0,G79&gt;0),"E",IF(P79="","",IF(P79=0,"S",IF(AND(P79&gt;0,NOT(G79=0)),"I",IF(AND(P79&gt;0,G79=0),"N",IF(P79&lt;0,"D","ERROR")))))))</f>
        <v>D</v>
      </c>
      <c r="R79" s="156"/>
      <c r="S79" s="69" t="s">
        <v>464</v>
      </c>
    </row>
    <row r="80" spans="1:23" x14ac:dyDescent="0.35">
      <c r="A80" s="28" t="s">
        <v>279</v>
      </c>
      <c r="B80" s="4" t="s">
        <v>280</v>
      </c>
      <c r="C80" s="13">
        <v>295</v>
      </c>
      <c r="D80" s="22"/>
      <c r="E80" s="13">
        <v>60</v>
      </c>
      <c r="F80" s="27">
        <f>IF(D80=0,E80,IF(AND(E80=0,I80="A"),D80,IF(E80&gt;D80,E80, IF(E80/D80&gt;0.73,D80,E80))))</f>
        <v>60</v>
      </c>
      <c r="G80" s="22"/>
      <c r="H80" s="26"/>
      <c r="I80" s="13"/>
      <c r="J80" s="13"/>
      <c r="K80" s="27">
        <f>IF(H80="",0,IF(J80&gt;0,0,IF(H80="A",G80,IF(H80="M",G80*12,IF(H80="W",G80*(Lookups!$B$9+1),IF(H80="B",G80*(+Lookups!$B$10),IF(H80="S",G80*2,IF(AND(G80=0,J80&gt;0),J80,"ERROR"))))))))</f>
        <v>0</v>
      </c>
      <c r="L80" s="22"/>
      <c r="M80" s="26"/>
      <c r="N80" s="13"/>
      <c r="O80" s="27">
        <f>IF(L80="",0,IF(N80&gt;0,0,IF(M80="A",L80,IF(M80="M",L80*12,IF(M80="W",L80*Lookups!B$9,IF(M80="B",L80*+Lookups!B$10,IF(M80="S",L80*2,IF(AND(L80=0,N80&gt;0),N80,"ERROR"))))))))</f>
        <v>0</v>
      </c>
      <c r="P80" s="170" t="str">
        <f t="shared" si="1"/>
        <v/>
      </c>
      <c r="Q80" s="171" t="str">
        <f>IF(AND(N80&gt;0,G80=0,L80=0),"X",IF(AND(N80&gt;0,G80&gt;0),"E",IF(P80="","",IF(P80=0,"S",IF(AND(P80&gt;0,NOT(G80=0)),"I",IF(AND(P80&gt;0,G80=0),"N",IF(P80&lt;0,"D","ERROR")))))))</f>
        <v/>
      </c>
      <c r="R80" s="156"/>
    </row>
    <row r="81" spans="1:23" x14ac:dyDescent="0.35">
      <c r="A81" s="28" t="s">
        <v>281</v>
      </c>
      <c r="B81" s="4" t="s">
        <v>282</v>
      </c>
      <c r="C81" s="13">
        <v>80</v>
      </c>
      <c r="D81" s="22"/>
      <c r="E81" s="13">
        <v>20</v>
      </c>
      <c r="F81" s="27">
        <f>IF(D81=0,E81,IF(AND(E81=0,I81="A"),D81,IF(E81&gt;D81,E81, IF(E81/D81&gt;0.73,D81,E81))))</f>
        <v>20</v>
      </c>
      <c r="G81" s="22"/>
      <c r="H81" s="26"/>
      <c r="I81" s="13"/>
      <c r="J81" s="13"/>
      <c r="K81" s="27">
        <f>IF(H81="",0,IF(J81&gt;0,0,IF(H81="A",G81,IF(H81="M",G81*12,IF(H81="W",G81*(Lookups!$B$9+1),IF(H81="B",G81*(+Lookups!$B$10),IF(H81="S",G81*2,IF(AND(G81=0,J81&gt;0),J81,"ERROR"))))))))</f>
        <v>0</v>
      </c>
      <c r="L81" s="22"/>
      <c r="M81" s="26"/>
      <c r="N81" s="13"/>
      <c r="O81" s="27">
        <f>IF(L81="",0,IF(N81&gt;0,0,IF(M81="A",L81,IF(M81="M",L81*12,IF(M81="W",L81*Lookups!B$9,IF(M81="B",L81*+Lookups!B$10,IF(M81="S",L81*2,IF(AND(L81=0,N81&gt;0),N81,"ERROR"))))))))</f>
        <v>0</v>
      </c>
      <c r="P81" s="170" t="str">
        <f t="shared" si="1"/>
        <v/>
      </c>
      <c r="Q81" s="171" t="str">
        <f>IF(AND(N81&gt;0,G81=0,L81=0),"X",IF(AND(N81&gt;0,G81&gt;0),"E",IF(P81="","",IF(P81=0,"S",IF(AND(P81&gt;0,NOT(G81=0)),"I",IF(AND(P81&gt;0,G81=0),"N",IF(P81&lt;0,"D","ERROR")))))))</f>
        <v/>
      </c>
      <c r="R81" s="156"/>
    </row>
    <row r="82" spans="1:23" x14ac:dyDescent="0.35">
      <c r="A82" s="28" t="s">
        <v>283</v>
      </c>
      <c r="B82" s="4" t="s">
        <v>284</v>
      </c>
      <c r="C82" s="13">
        <v>900</v>
      </c>
      <c r="D82" s="22"/>
      <c r="E82" s="13">
        <v>675</v>
      </c>
      <c r="F82" s="27">
        <f>IF(D82=0,E82,IF(AND(E82=0,I82="A"),D82,IF(E82&gt;D82,E82, IF(E82/D82&gt;0.73,D82,E82))))</f>
        <v>675</v>
      </c>
      <c r="G82" s="22"/>
      <c r="H82" s="26"/>
      <c r="I82" s="13"/>
      <c r="J82" s="13">
        <v>700</v>
      </c>
      <c r="K82" s="27">
        <f>IF(H82="",0,IF(J82&gt;0,0,IF(H82="A",G82,IF(H82="M",G82*12,IF(H82="W",G82*(Lookups!$B$9+1),IF(H82="B",G82*(+Lookups!$B$10),IF(H82="S",G82*2,IF(AND(G82=0,J82&gt;0),J82,"ERROR"))))))))</f>
        <v>0</v>
      </c>
      <c r="L82" s="22"/>
      <c r="M82" s="26"/>
      <c r="N82" s="13"/>
      <c r="O82" s="27">
        <f>IF(L82="",0,IF(N82&gt;0,0,IF(M82="A",L82,IF(M82="M",L82*12,IF(M82="W",L82*Lookups!B$9,IF(M82="B",L82*+Lookups!B$10,IF(M82="S",L82*2,IF(AND(L82=0,N82&gt;0),N82,"ERROR"))))))))</f>
        <v>0</v>
      </c>
      <c r="P82" s="170" t="str">
        <f t="shared" si="1"/>
        <v/>
      </c>
      <c r="Q82" s="171" t="str">
        <f>IF(AND(N82&gt;0,G82=0,L82=0),"X",IF(AND(N82&gt;0,G82&gt;0),"E",IF(P82="","",IF(P82=0,"S",IF(AND(P82&gt;0,NOT(G82=0)),"I",IF(AND(P82&gt;0,G82=0),"N",IF(P82&lt;0,"D","ERROR")))))))</f>
        <v/>
      </c>
      <c r="R82" s="156"/>
    </row>
    <row r="83" spans="1:23" x14ac:dyDescent="0.35">
      <c r="A83" s="28" t="s">
        <v>122</v>
      </c>
      <c r="B83" s="4" t="s">
        <v>123</v>
      </c>
      <c r="C83" s="13">
        <v>1150</v>
      </c>
      <c r="D83" s="22">
        <v>1000</v>
      </c>
      <c r="E83" s="13">
        <v>400</v>
      </c>
      <c r="F83" s="27">
        <f>IF(D83=0,E83,IF(AND(E83=0,I83="A"),D83,IF(E83&gt;D83,E83, IF(E83/D83&gt;0.73,D83,E83))))</f>
        <v>400</v>
      </c>
      <c r="G83" s="22">
        <v>1200</v>
      </c>
      <c r="H83" s="26" t="s">
        <v>42</v>
      </c>
      <c r="I83" s="13"/>
      <c r="J83" s="13"/>
      <c r="K83" s="27">
        <f>IF(H83="",0,IF(J83&gt;0,0,IF(H83="A",G83,IF(H83="M",G83*12,IF(H83="W",G83*(Lookups!$B$9+1),IF(H83="B",G83*(+Lookups!$B$10),IF(H83="S",G83*2,IF(AND(G83=0,J83&gt;0),J83,"ERROR"))))))))</f>
        <v>1200</v>
      </c>
      <c r="L83" s="22"/>
      <c r="M83" s="26"/>
      <c r="N83" s="13"/>
      <c r="O83" s="27">
        <f>IF(L83="",0,IF(N83&gt;0,0,IF(M83="A",L83,IF(M83="M",L83*12,IF(M83="W",L83*Lookups!B$9,IF(M83="B",L83*+Lookups!B$10,IF(M83="S",L83*2,IF(AND(L83=0,N83&gt;0),N83,"ERROR"))))))))</f>
        <v>0</v>
      </c>
      <c r="P83" s="170">
        <f t="shared" si="1"/>
        <v>-1200</v>
      </c>
      <c r="Q83" s="171" t="str">
        <f>IF(AND(N83&gt;0,G83=0,L83=0),"X",IF(AND(N83&gt;0,G83&gt;0),"E",IF(P83="","",IF(P83=0,"S",IF(AND(P83&gt;0,NOT(G83=0)),"I",IF(AND(P83&gt;0,G83=0),"N",IF(P83&lt;0,"D","ERROR")))))))</f>
        <v>D</v>
      </c>
      <c r="R83" s="156"/>
      <c r="S83" s="69" t="s">
        <v>465</v>
      </c>
      <c r="T83" s="70" t="s">
        <v>466</v>
      </c>
      <c r="U83" s="70" t="s">
        <v>413</v>
      </c>
      <c r="V83" s="71" t="s">
        <v>414</v>
      </c>
      <c r="W83" s="72">
        <v>53406</v>
      </c>
    </row>
    <row r="84" spans="1:23" x14ac:dyDescent="0.35">
      <c r="A84" s="28" t="s">
        <v>124</v>
      </c>
      <c r="B84" s="4" t="s">
        <v>125</v>
      </c>
      <c r="C84" s="13">
        <v>1200</v>
      </c>
      <c r="D84" s="22">
        <v>1200</v>
      </c>
      <c r="E84" s="13">
        <v>600</v>
      </c>
      <c r="F84" s="27">
        <f>IF(D84=0,E84,IF(AND(E84=0,I84="A"),D84,IF(E84&gt;D84,E84, IF(E84/D84&gt;0.73,D84,E84))))</f>
        <v>600</v>
      </c>
      <c r="G84" s="22">
        <v>100</v>
      </c>
      <c r="H84" s="26" t="s">
        <v>46</v>
      </c>
      <c r="I84" s="13"/>
      <c r="J84" s="13"/>
      <c r="K84" s="27">
        <f>IF(H84="",0,IF(J84&gt;0,0,IF(H84="A",G84,IF(H84="M",G84*12,IF(H84="W",G84*(Lookups!$B$9+1),IF(H84="B",G84*(+Lookups!$B$10),IF(H84="S",G84*2,IF(AND(G84=0,J84&gt;0),J84,"ERROR"))))))))</f>
        <v>1200</v>
      </c>
      <c r="L84" s="22"/>
      <c r="M84" s="26"/>
      <c r="N84" s="13"/>
      <c r="O84" s="27">
        <f>IF(L84="",0,IF(N84&gt;0,0,IF(M84="A",L84,IF(M84="M",L84*12,IF(M84="W",L84*Lookups!B$9,IF(M84="B",L84*+Lookups!B$10,IF(M84="S",L84*2,IF(AND(L84=0,N84&gt;0),N84,"ERROR"))))))))</f>
        <v>0</v>
      </c>
      <c r="P84" s="170">
        <f t="shared" si="1"/>
        <v>-1200</v>
      </c>
      <c r="Q84" s="171" t="str">
        <f>IF(AND(N84&gt;0,G84=0,L84=0),"X",IF(AND(N84&gt;0,G84&gt;0),"E",IF(P84="","",IF(P84=0,"S",IF(AND(P84&gt;0,NOT(G84=0)),"I",IF(AND(P84&gt;0,G84=0),"N",IF(P84&lt;0,"D","ERROR")))))))</f>
        <v>D</v>
      </c>
      <c r="R84" s="156"/>
    </row>
    <row r="85" spans="1:23" x14ac:dyDescent="0.35">
      <c r="A85" s="28" t="s">
        <v>126</v>
      </c>
      <c r="B85" s="4" t="s">
        <v>127</v>
      </c>
      <c r="C85" s="13">
        <v>250</v>
      </c>
      <c r="D85" s="22">
        <v>250</v>
      </c>
      <c r="E85" s="13">
        <v>250</v>
      </c>
      <c r="F85" s="27">
        <f>IF(D85=0,E85,IF(AND(E85=0,I85="A"),D85,IF(E85&gt;D85,E85, IF(E85/D85&gt;0.73,D85,E85))))</f>
        <v>250</v>
      </c>
      <c r="G85" s="22">
        <v>250</v>
      </c>
      <c r="H85" s="26" t="s">
        <v>42</v>
      </c>
      <c r="I85" s="13"/>
      <c r="J85" s="13"/>
      <c r="K85" s="27">
        <f>IF(H85="",0,IF(J85&gt;0,0,IF(H85="A",G85,IF(H85="M",G85*12,IF(H85="W",G85*(Lookups!$B$9+1),IF(H85="B",G85*(+Lookups!$B$10),IF(H85="S",G85*2,IF(AND(G85=0,J85&gt;0),J85,"ERROR"))))))))</f>
        <v>250</v>
      </c>
      <c r="L85" s="22"/>
      <c r="M85" s="26"/>
      <c r="N85" s="13"/>
      <c r="O85" s="27">
        <f>IF(L85="",0,IF(N85&gt;0,0,IF(M85="A",L85,IF(M85="M",L85*12,IF(M85="W",L85*Lookups!B$9,IF(M85="B",L85*+Lookups!B$10,IF(M85="S",L85*2,IF(AND(L85=0,N85&gt;0),N85,"ERROR"))))))))</f>
        <v>0</v>
      </c>
      <c r="P85" s="170">
        <f t="shared" si="1"/>
        <v>-250</v>
      </c>
      <c r="Q85" s="171" t="str">
        <f>IF(AND(N85&gt;0,G85=0,L85=0),"X",IF(AND(N85&gt;0,G85&gt;0),"E",IF(P85="","",IF(P85=0,"S",IF(AND(P85&gt;0,NOT(G85=0)),"I",IF(AND(P85&gt;0,G85=0),"N",IF(P85&lt;0,"D","ERROR")))))))</f>
        <v>D</v>
      </c>
      <c r="R85" s="156"/>
    </row>
    <row r="86" spans="1:23" x14ac:dyDescent="0.35">
      <c r="A86" s="28" t="s">
        <v>128</v>
      </c>
      <c r="B86" s="4" t="s">
        <v>129</v>
      </c>
      <c r="C86" s="13">
        <v>1200</v>
      </c>
      <c r="D86" s="22">
        <v>1200</v>
      </c>
      <c r="E86" s="13">
        <v>1300</v>
      </c>
      <c r="F86" s="27">
        <f>IF(D86=0,E86,IF(AND(E86=0,I86="A"),D86,IF(E86&gt;D86,E86, IF(E86/D86&gt;0.73,D86,E86))))</f>
        <v>1300</v>
      </c>
      <c r="G86" s="22">
        <v>1200</v>
      </c>
      <c r="H86" s="26" t="s">
        <v>42</v>
      </c>
      <c r="I86" s="13"/>
      <c r="J86" s="13"/>
      <c r="K86" s="27">
        <f>IF(H86="",0,IF(J86&gt;0,0,IF(H86="A",G86,IF(H86="M",G86*12,IF(H86="W",G86*(Lookups!$B$9+1),IF(H86="B",G86*(+Lookups!$B$10),IF(H86="S",G86*2,IF(AND(G86=0,J86&gt;0),J86,"ERROR"))))))))</f>
        <v>1200</v>
      </c>
      <c r="L86" s="22">
        <v>1200</v>
      </c>
      <c r="M86" s="26" t="s">
        <v>42</v>
      </c>
      <c r="N86" s="13"/>
      <c r="O86" s="27">
        <f>IF(L86="",0,IF(N86&gt;0,0,IF(M86="A",L86,IF(M86="M",L86*12,IF(M86="W",L86*Lookups!B$9,IF(M86="B",L86*+Lookups!B$10,IF(M86="S",L86*2,IF(AND(L86=0,N86&gt;0),N86,"ERROR"))))))))</f>
        <v>1200</v>
      </c>
      <c r="P86" s="170">
        <f t="shared" si="1"/>
        <v>0</v>
      </c>
      <c r="Q86" s="171" t="str">
        <f>IF(AND(N86&gt;0,G86=0,L86=0),"X",IF(AND(N86&gt;0,G86&gt;0),"E",IF(P86="","",IF(P86=0,"S",IF(AND(P86&gt;0,NOT(G86=0)),"I",IF(AND(P86&gt;0,G86=0),"N",IF(P86&lt;0,"D","ERROR")))))))</f>
        <v>S</v>
      </c>
      <c r="R86" s="156"/>
      <c r="S86" s="69" t="s">
        <v>467</v>
      </c>
      <c r="T86" s="70" t="s">
        <v>468</v>
      </c>
      <c r="U86" s="70" t="s">
        <v>413</v>
      </c>
      <c r="V86" s="71" t="s">
        <v>414</v>
      </c>
      <c r="W86" s="72">
        <v>53406</v>
      </c>
    </row>
    <row r="87" spans="1:23" x14ac:dyDescent="0.35">
      <c r="A87" s="28" t="s">
        <v>130</v>
      </c>
      <c r="B87" s="4" t="s">
        <v>127</v>
      </c>
      <c r="C87" s="13">
        <v>2100</v>
      </c>
      <c r="D87" s="22">
        <v>2280</v>
      </c>
      <c r="E87" s="13">
        <v>1710</v>
      </c>
      <c r="F87" s="27">
        <f>IF(D87=0,E87,IF(AND(E87=0,I87="A"),D87,IF(E87&gt;D87,E87, IF(E87/D87&gt;0.73,D87,E87))))</f>
        <v>2280</v>
      </c>
      <c r="G87" s="22">
        <v>190</v>
      </c>
      <c r="H87" s="26" t="s">
        <v>46</v>
      </c>
      <c r="I87" s="13"/>
      <c r="J87" s="13"/>
      <c r="K87" s="27">
        <f>IF(H87="",0,IF(J87&gt;0,0,IF(H87="A",G87,IF(H87="M",G87*12,IF(H87="W",G87*(Lookups!$B$9+1),IF(H87="B",G87*(+Lookups!$B$10),IF(H87="S",G87*2,IF(AND(G87=0,J87&gt;0),J87,"ERROR"))))))))</f>
        <v>2280</v>
      </c>
      <c r="L87" s="22">
        <v>200</v>
      </c>
      <c r="M87" s="26" t="s">
        <v>46</v>
      </c>
      <c r="N87" s="13"/>
      <c r="O87" s="27">
        <f>IF(L87="",0,IF(N87&gt;0,0,IF(M87="A",L87,IF(M87="M",L87*12,IF(M87="W",L87*Lookups!B$9,IF(M87="B",L87*+Lookups!B$10,IF(M87="S",L87*2,IF(AND(L87=0,N87&gt;0),N87,"ERROR"))))))))</f>
        <v>2400</v>
      </c>
      <c r="P87" s="170">
        <f t="shared" si="1"/>
        <v>120</v>
      </c>
      <c r="Q87" s="171" t="str">
        <f>IF(AND(N87&gt;0,G87=0,L87=0),"X",IF(AND(N87&gt;0,G87&gt;0),"E",IF(P87="","",IF(P87=0,"S",IF(AND(P87&gt;0,NOT(G87=0)),"I",IF(AND(P87&gt;0,G87=0),"N",IF(P87&lt;0,"D","ERROR")))))))</f>
        <v>I</v>
      </c>
      <c r="R87" s="156"/>
      <c r="S87" s="69" t="s">
        <v>469</v>
      </c>
      <c r="T87" s="70" t="s">
        <v>470</v>
      </c>
      <c r="U87" s="70" t="s">
        <v>413</v>
      </c>
      <c r="V87" s="71" t="s">
        <v>414</v>
      </c>
      <c r="W87" s="72">
        <v>53406</v>
      </c>
    </row>
    <row r="88" spans="1:23" ht="29" x14ac:dyDescent="0.35">
      <c r="A88" s="28" t="s">
        <v>131</v>
      </c>
      <c r="B88" s="4" t="s">
        <v>132</v>
      </c>
      <c r="C88" s="13">
        <v>4420</v>
      </c>
      <c r="D88" s="22">
        <v>4680</v>
      </c>
      <c r="E88" s="13">
        <v>3510</v>
      </c>
      <c r="F88" s="27">
        <f>IF(D88=0,E88,IF(AND(E88=0,I88="A"),D88,IF(E88&gt;D88,E88, IF(E88/D88&gt;0.73,D88,E88))))</f>
        <v>4680</v>
      </c>
      <c r="G88" s="22">
        <v>95</v>
      </c>
      <c r="H88" s="26" t="s">
        <v>45</v>
      </c>
      <c r="I88" s="13"/>
      <c r="J88" s="13"/>
      <c r="K88" s="27">
        <f>IF(H88="",0,IF(J88&gt;0,0,IF(H88="A",G88,IF(H88="M",G88*12,IF(H88="W",G88*(Lookups!$B$9+1),IF(H88="B",G88*(+Lookups!$B$10),IF(H88="S",G88*2,IF(AND(G88=0,J88&gt;0),J88,"ERROR"))))))))</f>
        <v>5035</v>
      </c>
      <c r="L88" s="22">
        <v>100</v>
      </c>
      <c r="M88" s="26" t="s">
        <v>45</v>
      </c>
      <c r="N88" s="13"/>
      <c r="O88" s="27">
        <f>IF(L88="",0,IF(N88&gt;0,0,IF(M88="A",L88,IF(M88="M",L88*12,IF(M88="W",L88*Lookups!B$9,IF(M88="B",L88*+Lookups!B$10,IF(M88="S",L88*2,IF(AND(L88=0,N88&gt;0),N88,"ERROR"))))))))</f>
        <v>5200</v>
      </c>
      <c r="P88" s="170">
        <f t="shared" si="1"/>
        <v>165</v>
      </c>
      <c r="Q88" s="171" t="str">
        <f>IF(AND(N88&gt;0,G88=0,L88=0),"X",IF(AND(N88&gt;0,G88&gt;0),"E",IF(P88="","",IF(P88=0,"S",IF(AND(P88&gt;0,NOT(G88=0)),"I",IF(AND(P88&gt;0,G88=0),"N",IF(P88&lt;0,"D","ERROR")))))))</f>
        <v>I</v>
      </c>
      <c r="R88" s="156"/>
      <c r="S88" s="153" t="s">
        <v>578</v>
      </c>
      <c r="T88" s="70" t="s">
        <v>471</v>
      </c>
      <c r="U88" s="70" t="s">
        <v>437</v>
      </c>
      <c r="V88" s="71" t="s">
        <v>414</v>
      </c>
      <c r="W88" s="72">
        <v>53405</v>
      </c>
    </row>
    <row r="89" spans="1:23" x14ac:dyDescent="0.35">
      <c r="A89" s="28" t="s">
        <v>133</v>
      </c>
      <c r="B89" s="4" t="s">
        <v>134</v>
      </c>
      <c r="C89" s="13">
        <v>624</v>
      </c>
      <c r="D89" s="22">
        <v>676</v>
      </c>
      <c r="E89" s="13">
        <v>507</v>
      </c>
      <c r="F89" s="27">
        <f>IF(D89=0,E89,IF(AND(E89=0,I89="A"),D89,IF(E89&gt;D89,E89, IF(E89/D89&gt;0.73,D89,E89))))</f>
        <v>676</v>
      </c>
      <c r="G89" s="22">
        <v>13</v>
      </c>
      <c r="H89" s="26" t="s">
        <v>45</v>
      </c>
      <c r="I89" s="13"/>
      <c r="J89" s="13"/>
      <c r="K89" s="27">
        <f>IF(H89="",0,IF(J89&gt;0,0,IF(H89="A",G89,IF(H89="M",G89*12,IF(H89="W",G89*(Lookups!$B$9+1),IF(H89="B",G89*(+Lookups!$B$10),IF(H89="S",G89*2,IF(AND(G89=0,J89&gt;0),J89,"ERROR"))))))))</f>
        <v>689</v>
      </c>
      <c r="L89" s="22"/>
      <c r="M89" s="26"/>
      <c r="N89" s="13"/>
      <c r="O89" s="27">
        <f>IF(L89="",0,IF(N89&gt;0,0,IF(M89="A",L89,IF(M89="M",L89*12,IF(M89="W",L89*Lookups!B$9,IF(M89="B",L89*+Lookups!B$10,IF(M89="S",L89*2,IF(AND(L89=0,N89&gt;0),N89,"ERROR"))))))))</f>
        <v>0</v>
      </c>
      <c r="P89" s="170">
        <f t="shared" si="1"/>
        <v>-689</v>
      </c>
      <c r="Q89" s="171" t="str">
        <f>IF(AND(N89&gt;0,G89=0,L89=0),"X",IF(AND(N89&gt;0,G89&gt;0),"E",IF(P89="","",IF(P89=0,"S",IF(AND(P89&gt;0,NOT(G89=0)),"I",IF(AND(P89&gt;0,G89=0),"N",IF(P89&lt;0,"D","ERROR")))))))</f>
        <v>D</v>
      </c>
      <c r="R89" s="156"/>
      <c r="S89" s="69"/>
    </row>
    <row r="90" spans="1:23" x14ac:dyDescent="0.35">
      <c r="A90" s="28" t="s">
        <v>135</v>
      </c>
      <c r="B90" s="4" t="s">
        <v>136</v>
      </c>
      <c r="C90" s="13">
        <v>6500</v>
      </c>
      <c r="D90" s="22">
        <v>7200</v>
      </c>
      <c r="E90" s="13">
        <v>5400</v>
      </c>
      <c r="F90" s="27">
        <f>IF(D90=0,E90,IF(AND(E90=0,I90="A"),D90,IF(E90&gt;D90,E90, IF(E90/D90&gt;0.73,D90,E90))))</f>
        <v>7200</v>
      </c>
      <c r="G90" s="22">
        <v>600</v>
      </c>
      <c r="H90" s="26" t="s">
        <v>46</v>
      </c>
      <c r="I90" s="13"/>
      <c r="J90" s="13"/>
      <c r="K90" s="27">
        <f>IF(H90="",0,IF(J90&gt;0,0,IF(H90="A",G90,IF(H90="M",G90*12,IF(H90="W",G90*(Lookups!$B$9+1),IF(H90="B",G90*(+Lookups!$B$10),IF(H90="S",G90*2,IF(AND(G90=0,J90&gt;0),J90,"ERROR"))))))))</f>
        <v>7200</v>
      </c>
      <c r="L90" s="22">
        <v>650</v>
      </c>
      <c r="M90" s="26" t="s">
        <v>46</v>
      </c>
      <c r="N90" s="13"/>
      <c r="O90" s="27">
        <f>IF(L90="",0,IF(N90&gt;0,0,IF(M90="A",L90,IF(M90="M",L90*12,IF(M90="W",L90*Lookups!B$9,IF(M90="B",L90*+Lookups!B$10,IF(M90="S",L90*2,IF(AND(L90=0,N90&gt;0),N90,"ERROR"))))))))</f>
        <v>7800</v>
      </c>
      <c r="P90" s="170">
        <f t="shared" si="1"/>
        <v>600</v>
      </c>
      <c r="Q90" s="171" t="str">
        <f>IF(AND(N90&gt;0,G90=0,L90=0),"X",IF(AND(N90&gt;0,G90&gt;0),"E",IF(P90="","",IF(P90=0,"S",IF(AND(P90&gt;0,NOT(G90=0)),"I",IF(AND(P90&gt;0,G90=0),"N",IF(P90&lt;0,"D","ERROR")))))))</f>
        <v>I</v>
      </c>
      <c r="R90" s="156"/>
      <c r="S90" s="69" t="s">
        <v>472</v>
      </c>
      <c r="T90" s="70" t="s">
        <v>579</v>
      </c>
      <c r="U90" s="70" t="s">
        <v>437</v>
      </c>
      <c r="V90" s="71" t="s">
        <v>414</v>
      </c>
      <c r="W90" s="72">
        <v>53405</v>
      </c>
    </row>
    <row r="91" spans="1:23" x14ac:dyDescent="0.35">
      <c r="A91" s="28" t="s">
        <v>135</v>
      </c>
      <c r="B91" s="4" t="s">
        <v>137</v>
      </c>
      <c r="C91" s="13">
        <v>2000</v>
      </c>
      <c r="D91" s="22">
        <v>2500</v>
      </c>
      <c r="E91" s="13"/>
      <c r="F91" s="139">
        <v>2500</v>
      </c>
      <c r="G91" s="22">
        <v>2500</v>
      </c>
      <c r="H91" s="26" t="s">
        <v>42</v>
      </c>
      <c r="I91" s="13"/>
      <c r="J91" s="13"/>
      <c r="K91" s="27">
        <f>IF(H91="",0,IF(J91&gt;0,0,IF(H91="A",G91,IF(H91="M",G91*12,IF(H91="W",G91*(Lookups!$B$9+1),IF(H91="B",G91*(+Lookups!$B$10),IF(H91="S",G91*2,IF(AND(G91=0,J91&gt;0),J91,"ERROR"))))))))</f>
        <v>2500</v>
      </c>
      <c r="L91" s="22">
        <v>2000</v>
      </c>
      <c r="M91" s="26" t="s">
        <v>42</v>
      </c>
      <c r="N91" s="13"/>
      <c r="O91" s="27">
        <f>IF(L91="",0,IF(N91&gt;0,0,IF(M91="A",L91,IF(M91="M",L91*12,IF(M91="W",L91*Lookups!B$9,IF(M91="B",L91*+Lookups!B$10,IF(M91="S",L91*2,IF(AND(L91=0,N91&gt;0),N91,"ERROR"))))))))</f>
        <v>2000</v>
      </c>
      <c r="P91" s="170">
        <f t="shared" si="1"/>
        <v>-500</v>
      </c>
      <c r="Q91" s="171" t="str">
        <f>IF(AND(N91&gt;0,G91=0,L91=0),"X",IF(AND(N91&gt;0,G91&gt;0),"E",IF(P91="","",IF(P91=0,"S",IF(AND(P91&gt;0,NOT(G91=0)),"I",IF(AND(P91&gt;0,G91=0),"N",IF(P91&lt;0,"D","ERROR")))))))</f>
        <v>D</v>
      </c>
      <c r="R91" s="156"/>
      <c r="S91" s="69" t="s">
        <v>473</v>
      </c>
      <c r="T91" s="70" t="s">
        <v>474</v>
      </c>
      <c r="U91" s="70" t="s">
        <v>419</v>
      </c>
      <c r="V91" s="71" t="s">
        <v>414</v>
      </c>
      <c r="W91" s="72">
        <v>53126</v>
      </c>
    </row>
    <row r="92" spans="1:23" x14ac:dyDescent="0.35">
      <c r="A92" s="28" t="s">
        <v>138</v>
      </c>
      <c r="B92" s="4" t="s">
        <v>139</v>
      </c>
      <c r="C92" s="24">
        <v>20</v>
      </c>
      <c r="D92" s="22">
        <v>20</v>
      </c>
      <c r="E92" s="13">
        <v>35</v>
      </c>
      <c r="F92" s="27">
        <f>IF(D92=0,E92,IF(AND(E92=0,I92="A"),D92,IF(E92&gt;D92,E92, IF(E92/D92&gt;0.73,D92,E92))))</f>
        <v>35</v>
      </c>
      <c r="G92" s="22"/>
      <c r="H92" s="26" t="s">
        <v>42</v>
      </c>
      <c r="I92" s="13"/>
      <c r="J92" s="13"/>
      <c r="K92" s="27">
        <f>IF(H92="",0,IF(J92&gt;0,0,IF(H92="A",G92,IF(H92="M",G92*12,IF(H92="W",G92*(Lookups!$B$9+1),IF(H92="B",G92*(+Lookups!$B$10),IF(H92="S",G92*2,IF(AND(G92=0,J92&gt;0),J92,"ERROR"))))))))</f>
        <v>0</v>
      </c>
      <c r="L92" s="22"/>
      <c r="M92" s="26"/>
      <c r="N92" s="13"/>
      <c r="O92" s="27">
        <f>IF(L92="",0,IF(N92&gt;0,0,IF(M92="A",L92,IF(M92="M",L92*12,IF(M92="W",L92*Lookups!B$9,IF(M92="B",L92*+Lookups!B$10,IF(M92="S",L92*2,IF(AND(L92=0,N92&gt;0),N92,"ERROR"))))))))</f>
        <v>0</v>
      </c>
      <c r="P92" s="170" t="str">
        <f t="shared" si="1"/>
        <v/>
      </c>
      <c r="Q92" s="171" t="str">
        <f>IF(AND(N92&gt;0,G92=0,L92=0),"X",IF(AND(N92&gt;0,G92&gt;0),"E",IF(P92="","",IF(P92=0,"S",IF(AND(P92&gt;0,NOT(G92=0)),"I",IF(AND(P92&gt;0,G92=0),"N",IF(P92&lt;0,"D","ERROR")))))))</f>
        <v/>
      </c>
      <c r="R92" s="156"/>
    </row>
    <row r="93" spans="1:23" x14ac:dyDescent="0.35">
      <c r="A93" s="28" t="s">
        <v>285</v>
      </c>
      <c r="B93" s="4" t="s">
        <v>286</v>
      </c>
      <c r="C93" s="24">
        <v>1100</v>
      </c>
      <c r="D93" s="22"/>
      <c r="E93" s="13">
        <v>700</v>
      </c>
      <c r="F93" s="27">
        <f>IF(D93=0,E93,IF(AND(E93=0,I93="A"),D93,IF(E93&gt;D93,E93, IF(E93/D93&gt;0.73,D93,E93))))</f>
        <v>700</v>
      </c>
      <c r="G93" s="22"/>
      <c r="H93" s="26"/>
      <c r="I93" s="13"/>
      <c r="J93" s="13">
        <v>700</v>
      </c>
      <c r="K93" s="27">
        <f>IF(H93="",0,IF(J93&gt;0,0,IF(H93="A",G93,IF(H93="M",G93*12,IF(H93="W",G93*(Lookups!$B$9+1),IF(H93="B",G93*(+Lookups!$B$10),IF(H93="S",G93*2,IF(AND(G93=0,J93&gt;0),J93,"ERROR"))))))))</f>
        <v>0</v>
      </c>
      <c r="L93" s="22"/>
      <c r="M93" s="26"/>
      <c r="N93" s="13"/>
      <c r="O93" s="27">
        <f>IF(L93="",0,IF(N93&gt;0,0,IF(M93="A",L93,IF(M93="M",L93*12,IF(M93="W",L93*Lookups!B$9,IF(M93="B",L93*+Lookups!B$10,IF(M93="S",L93*2,IF(AND(L93=0,N93&gt;0),N93,"ERROR"))))))))</f>
        <v>0</v>
      </c>
      <c r="P93" s="170" t="str">
        <f t="shared" si="1"/>
        <v/>
      </c>
      <c r="Q93" s="171" t="str">
        <f>IF(AND(N93&gt;0,G93=0,L93=0),"X",IF(AND(N93&gt;0,G93&gt;0),"E",IF(P93="","",IF(P93=0,"S",IF(AND(P93&gt;0,NOT(G93=0)),"I",IF(AND(P93&gt;0,G93=0),"N",IF(P93&lt;0,"D","ERROR")))))))</f>
        <v/>
      </c>
      <c r="R93" s="156"/>
    </row>
    <row r="94" spans="1:23" x14ac:dyDescent="0.35">
      <c r="A94" s="28" t="s">
        <v>285</v>
      </c>
      <c r="B94" s="4" t="s">
        <v>22</v>
      </c>
      <c r="C94" s="24">
        <v>4200</v>
      </c>
      <c r="D94" s="22"/>
      <c r="E94" s="13">
        <v>3100</v>
      </c>
      <c r="F94" s="27">
        <f>IF(D94=0,E94,IF(AND(E94=0,I94="A"),D94,IF(E94&gt;D94,E94, IF(E94/D94&gt;0.73,D94,E94))))</f>
        <v>3100</v>
      </c>
      <c r="G94" s="22"/>
      <c r="H94" s="26"/>
      <c r="I94" s="13"/>
      <c r="J94" s="13">
        <v>4100</v>
      </c>
      <c r="K94" s="27">
        <f>IF(H94="",0,IF(J94&gt;0,0,IF(H94="A",G94,IF(H94="M",G94*12,IF(H94="W",G94*(Lookups!$B$9+1),IF(H94="B",G94*(+Lookups!$B$10),IF(H94="S",G94*2,IF(AND(G94=0,J94&gt;0),J94,"ERROR"))))))))</f>
        <v>0</v>
      </c>
      <c r="L94" s="22"/>
      <c r="M94" s="26"/>
      <c r="N94" s="13"/>
      <c r="O94" s="27">
        <f>IF(L94="",0,IF(N94&gt;0,0,IF(M94="A",L94,IF(M94="M",L94*12,IF(M94="W",L94*Lookups!B$9,IF(M94="B",L94*+Lookups!B$10,IF(M94="S",L94*2,IF(AND(L94=0,N94&gt;0),N94,"ERROR"))))))))</f>
        <v>0</v>
      </c>
      <c r="P94" s="170" t="str">
        <f t="shared" si="1"/>
        <v/>
      </c>
      <c r="Q94" s="171" t="str">
        <f>IF(AND(N94&gt;0,G94=0,L94=0),"X",IF(AND(N94&gt;0,G94&gt;0),"E",IF(P94="","",IF(P94=0,"S",IF(AND(P94&gt;0,NOT(G94=0)),"I",IF(AND(P94&gt;0,G94=0),"N",IF(P94&lt;0,"D","ERROR")))))))</f>
        <v/>
      </c>
      <c r="R94" s="156"/>
    </row>
    <row r="95" spans="1:23" x14ac:dyDescent="0.35">
      <c r="A95" s="28" t="s">
        <v>287</v>
      </c>
      <c r="B95" s="4" t="s">
        <v>288</v>
      </c>
      <c r="C95" s="24">
        <v>300</v>
      </c>
      <c r="D95" s="22"/>
      <c r="E95" s="13">
        <v>400</v>
      </c>
      <c r="F95" s="27">
        <f>IF(D95=0,E95,IF(AND(E95=0,I95="A"),D95,IF(E95&gt;D95,E95, IF(E95/D95&gt;0.73,D95,E95))))</f>
        <v>400</v>
      </c>
      <c r="G95" s="22"/>
      <c r="H95" s="26"/>
      <c r="I95" s="13"/>
      <c r="J95" s="13">
        <v>400</v>
      </c>
      <c r="K95" s="27">
        <f>IF(H95="",0,IF(J95&gt;0,0,IF(H95="A",G95,IF(H95="M",G95*12,IF(H95="W",G95*(Lookups!$B$9+1),IF(H95="B",G95*(+Lookups!$B$10),IF(H95="S",G95*2,IF(AND(G95=0,J95&gt;0),J95,"ERROR"))))))))</f>
        <v>0</v>
      </c>
      <c r="L95" s="22"/>
      <c r="M95" s="26"/>
      <c r="N95" s="13"/>
      <c r="O95" s="27">
        <f>IF(L95="",0,IF(N95&gt;0,0,IF(M95="A",L95,IF(M95="M",L95*12,IF(M95="W",L95*Lookups!B$9,IF(M95="B",L95*+Lookups!B$10,IF(M95="S",L95*2,IF(AND(L95=0,N95&gt;0),N95,"ERROR"))))))))</f>
        <v>0</v>
      </c>
      <c r="P95" s="170" t="str">
        <f t="shared" si="1"/>
        <v/>
      </c>
      <c r="Q95" s="171" t="str">
        <f>IF(AND(N95&gt;0,G95=0,L95=0),"X",IF(AND(N95&gt;0,G95&gt;0),"E",IF(P95="","",IF(P95=0,"S",IF(AND(P95&gt;0,NOT(G95=0)),"I",IF(AND(P95&gt;0,G95=0),"N",IF(P95&lt;0,"D","ERROR")))))))</f>
        <v/>
      </c>
      <c r="R95" s="156"/>
    </row>
    <row r="96" spans="1:23" x14ac:dyDescent="0.35">
      <c r="A96" s="28" t="s">
        <v>289</v>
      </c>
      <c r="B96" s="4" t="s">
        <v>290</v>
      </c>
      <c r="C96" s="24">
        <v>320</v>
      </c>
      <c r="D96" s="22"/>
      <c r="E96" s="13">
        <v>190</v>
      </c>
      <c r="F96" s="27">
        <f>IF(D96=0,E96,IF(AND(E96=0,I96="A"),D96,IF(E96&gt;D96,E96, IF(E96/D96&gt;0.73,D96,E96))))</f>
        <v>190</v>
      </c>
      <c r="G96" s="22"/>
      <c r="H96" s="26"/>
      <c r="I96" s="13"/>
      <c r="J96" s="13">
        <v>200</v>
      </c>
      <c r="K96" s="27">
        <f>IF(H96="",0,IF(J96&gt;0,0,IF(H96="A",G96,IF(H96="M",G96*12,IF(H96="W",G96*(Lookups!$B$9+1),IF(H96="B",G96*(+Lookups!$B$10),IF(H96="S",G96*2,IF(AND(G96=0,J96&gt;0),J96,"ERROR"))))))))</f>
        <v>0</v>
      </c>
      <c r="L96" s="22"/>
      <c r="M96" s="26"/>
      <c r="N96" s="13"/>
      <c r="O96" s="27">
        <f>IF(L96="",0,IF(N96&gt;0,0,IF(M96="A",L96,IF(M96="M",L96*12,IF(M96="W",L96*Lookups!B$9,IF(M96="B",L96*+Lookups!B$10,IF(M96="S",L96*2,IF(AND(L96=0,N96&gt;0),N96,"ERROR"))))))))</f>
        <v>0</v>
      </c>
      <c r="P96" s="170" t="str">
        <f t="shared" si="1"/>
        <v/>
      </c>
      <c r="Q96" s="171" t="str">
        <f>IF(AND(N96&gt;0,G96=0,L96=0),"X",IF(AND(N96&gt;0,G96&gt;0),"E",IF(P96="","",IF(P96=0,"S",IF(AND(P96&gt;0,NOT(G96=0)),"I",IF(AND(P96&gt;0,G96=0),"N",IF(P96&lt;0,"D","ERROR")))))))</f>
        <v/>
      </c>
      <c r="R96" s="156"/>
    </row>
    <row r="97" spans="1:23" x14ac:dyDescent="0.35">
      <c r="A97" s="28" t="s">
        <v>291</v>
      </c>
      <c r="B97" s="4" t="s">
        <v>250</v>
      </c>
      <c r="C97" s="24">
        <v>45</v>
      </c>
      <c r="D97" s="22"/>
      <c r="E97" s="13"/>
      <c r="F97" s="27">
        <f>IF(D97=0,E97,IF(AND(E97=0,I97="A"),D97,IF(E97&gt;D97,E97, IF(E97/D97&gt;0.73,D97,E97))))</f>
        <v>0</v>
      </c>
      <c r="G97" s="22"/>
      <c r="H97" s="26"/>
      <c r="I97" s="13"/>
      <c r="J97" s="13"/>
      <c r="K97" s="27">
        <f>IF(H97="",0,IF(J97&gt;0,0,IF(H97="A",G97,IF(H97="M",G97*12,IF(H97="W",G97*(Lookups!$B$9+1),IF(H97="B",G97*(+Lookups!$B$10),IF(H97="S",G97*2,IF(AND(G97=0,J97&gt;0),J97,"ERROR"))))))))</f>
        <v>0</v>
      </c>
      <c r="L97" s="22"/>
      <c r="M97" s="26"/>
      <c r="N97" s="13"/>
      <c r="O97" s="27">
        <f>IF(L97="",0,IF(N97&gt;0,0,IF(M97="A",L97,IF(M97="M",L97*12,IF(M97="W",L97*Lookups!B$9,IF(M97="B",L97*+Lookups!B$10,IF(M97="S",L97*2,IF(AND(L97=0,N97&gt;0),N97,"ERROR"))))))))</f>
        <v>0</v>
      </c>
      <c r="P97" s="170" t="str">
        <f t="shared" si="1"/>
        <v/>
      </c>
      <c r="Q97" s="171" t="str">
        <f>IF(AND(N97&gt;0,G97=0,L97=0),"X",IF(AND(N97&gt;0,G97&gt;0),"E",IF(P97="","",IF(P97=0,"S",IF(AND(P97&gt;0,NOT(G97=0)),"I",IF(AND(P97&gt;0,G97=0),"N",IF(P97&lt;0,"D","ERROR")))))))</f>
        <v/>
      </c>
      <c r="R97" s="156"/>
    </row>
    <row r="98" spans="1:23" x14ac:dyDescent="0.35">
      <c r="A98" s="28" t="s">
        <v>292</v>
      </c>
      <c r="B98" s="4" t="s">
        <v>22</v>
      </c>
      <c r="C98" s="24">
        <v>125</v>
      </c>
      <c r="D98" s="22"/>
      <c r="E98" s="13">
        <v>100</v>
      </c>
      <c r="F98" s="27">
        <f>IF(D98=0,E98,IF(AND(E98=0,I98="A"),D98,IF(E98&gt;D98,E98, IF(E98/D98&gt;0.73,D98,E98))))</f>
        <v>100</v>
      </c>
      <c r="G98" s="22"/>
      <c r="H98" s="26" t="s">
        <v>42</v>
      </c>
      <c r="I98" s="13"/>
      <c r="J98" s="13">
        <v>100</v>
      </c>
      <c r="K98" s="27">
        <f>IF(H98="",0,IF(J98&gt;0,0,IF(H98="A",G98,IF(H98="M",G98*12,IF(H98="W",G98*(Lookups!$B$9+1),IF(H98="B",G98*(+Lookups!$B$10),IF(H98="S",G98*2,IF(AND(G98=0,J98&gt;0),J98,"ERROR"))))))))</f>
        <v>0</v>
      </c>
      <c r="L98" s="22"/>
      <c r="M98" s="26"/>
      <c r="N98" s="140">
        <v>100</v>
      </c>
      <c r="O98" s="27">
        <f>IF(L98="",0,IF(N98&gt;0,0,IF(M98="A",L98,IF(M98="M",L98*12,IF(M98="W",L98*Lookups!B$9,IF(M98="B",L98*+Lookups!B$10,IF(M98="S",L98*2,IF(AND(L98=0,N98&gt;0),N98,"ERROR"))))))))</f>
        <v>0</v>
      </c>
      <c r="P98" s="170" t="str">
        <f t="shared" si="1"/>
        <v/>
      </c>
      <c r="Q98" s="171" t="str">
        <f>IF(AND(N98&gt;0,G98=0,L98=0),"X",IF(AND(N98&gt;0,G98&gt;0),"E",IF(P98="","",IF(P98=0,"S",IF(AND(P98&gt;0,NOT(G98=0)),"I",IF(AND(P98&gt;0,G98=0),"N",IF(P98&lt;0,"D","ERROR")))))))</f>
        <v>X</v>
      </c>
      <c r="R98" s="156" t="s">
        <v>583</v>
      </c>
      <c r="S98" s="69" t="s">
        <v>580</v>
      </c>
      <c r="T98" s="70" t="s">
        <v>581</v>
      </c>
      <c r="U98" s="70" t="s">
        <v>582</v>
      </c>
      <c r="V98" s="71" t="s">
        <v>414</v>
      </c>
      <c r="W98" s="72">
        <v>53406</v>
      </c>
    </row>
    <row r="99" spans="1:23" x14ac:dyDescent="0.35">
      <c r="A99" s="28" t="s">
        <v>140</v>
      </c>
      <c r="B99" s="4" t="s">
        <v>293</v>
      </c>
      <c r="C99" s="24">
        <v>600</v>
      </c>
      <c r="D99" s="22"/>
      <c r="E99" s="13">
        <v>450</v>
      </c>
      <c r="F99" s="27">
        <f>IF(D99=0,E99,IF(AND(E99=0,I99="A"),D99,IF(E99&gt;D99,E99, IF(E99/D99&gt;0.73,D99,E99))))</f>
        <v>450</v>
      </c>
      <c r="G99" s="22"/>
      <c r="H99" s="26"/>
      <c r="I99" s="13"/>
      <c r="J99" s="13">
        <v>400</v>
      </c>
      <c r="K99" s="27">
        <f>IF(H99="",0,IF(J99&gt;0,0,IF(H99="A",G99,IF(H99="M",G99*12,IF(H99="W",G99*(Lookups!$B$9+1),IF(H99="B",G99*(+Lookups!$B$10),IF(H99="S",G99*2,IF(AND(G99=0,J99&gt;0),J99,"ERROR"))))))))</f>
        <v>0</v>
      </c>
      <c r="L99" s="22"/>
      <c r="M99" s="26"/>
      <c r="N99" s="13"/>
      <c r="O99" s="27">
        <f>IF(L99="",0,IF(N99&gt;0,0,IF(M99="A",L99,IF(M99="M",L99*12,IF(M99="W",L99*Lookups!B$9,IF(M99="B",L99*+Lookups!B$10,IF(M99="S",L99*2,IF(AND(L99=0,N99&gt;0),N99,"ERROR"))))))))</f>
        <v>0</v>
      </c>
      <c r="P99" s="170" t="str">
        <f t="shared" si="1"/>
        <v/>
      </c>
      <c r="Q99" s="171" t="str">
        <f>IF(AND(N99&gt;0,G99=0,L99=0),"X",IF(AND(N99&gt;0,G99&gt;0),"E",IF(P99="","",IF(P99=0,"S",IF(AND(P99&gt;0,NOT(G99=0)),"I",IF(AND(P99&gt;0,G99=0),"N",IF(P99&lt;0,"D","ERROR")))))))</f>
        <v/>
      </c>
      <c r="R99" s="156"/>
    </row>
    <row r="100" spans="1:23" x14ac:dyDescent="0.35">
      <c r="A100" s="28" t="s">
        <v>140</v>
      </c>
      <c r="B100" s="4" t="s">
        <v>141</v>
      </c>
      <c r="C100" s="24">
        <v>180</v>
      </c>
      <c r="D100" s="22">
        <v>240</v>
      </c>
      <c r="E100" s="13">
        <v>180</v>
      </c>
      <c r="F100" s="27">
        <f>IF(D100=0,E100,IF(AND(E100=0,I100="A"),D100,IF(E100&gt;D100,E100, IF(E100/D100&gt;0.73,D100,E100))))</f>
        <v>240</v>
      </c>
      <c r="G100" s="22">
        <v>25</v>
      </c>
      <c r="H100" s="26" t="s">
        <v>45</v>
      </c>
      <c r="I100" s="13"/>
      <c r="J100" s="13"/>
      <c r="K100" s="27">
        <f>IF(H100="",0,IF(J100&gt;0,0,IF(H100="A",G100,IF(H100="M",G100*12,IF(H100="W",G100*(Lookups!$B$9+1),IF(H100="B",G100*(+Lookups!$B$10),IF(H100="S",G100*2,IF(AND(G100=0,J100&gt;0),J100,"ERROR"))))))))</f>
        <v>1325</v>
      </c>
      <c r="L100" s="22"/>
      <c r="M100" s="26"/>
      <c r="N100" s="13"/>
      <c r="O100" s="27">
        <f>IF(L100="",0,IF(N100&gt;0,0,IF(M100="A",L100,IF(M100="M",L100*12,IF(M100="W",L100*Lookups!B$9,IF(M100="B",L100*+Lookups!B$10,IF(M100="S",L100*2,IF(AND(L100=0,N100&gt;0),N100,"ERROR"))))))))</f>
        <v>0</v>
      </c>
      <c r="P100" s="170">
        <f t="shared" si="1"/>
        <v>-1325</v>
      </c>
      <c r="Q100" s="171" t="str">
        <f>IF(AND(N100&gt;0,G100=0,L100=0),"X",IF(AND(N100&gt;0,G100&gt;0),"E",IF(P100="","",IF(P100=0,"S",IF(AND(P100&gt;0,NOT(G100=0)),"I",IF(AND(P100&gt;0,G100=0),"N",IF(P100&lt;0,"D","ERROR")))))))</f>
        <v>D</v>
      </c>
      <c r="R100" s="156"/>
    </row>
    <row r="101" spans="1:23" ht="29" x14ac:dyDescent="0.35">
      <c r="A101" s="28" t="s">
        <v>142</v>
      </c>
      <c r="B101" s="4" t="s">
        <v>143</v>
      </c>
      <c r="C101" s="24">
        <v>2118.64</v>
      </c>
      <c r="D101" s="22">
        <v>2200</v>
      </c>
      <c r="E101" s="13">
        <v>1000</v>
      </c>
      <c r="F101" s="27">
        <f>IF(D101=0,E101,IF(AND(E101=0,I101="A"),D101,IF(E101&gt;D101,E101, IF(E101/D101&gt;0.73,D101,E101))))</f>
        <v>1000</v>
      </c>
      <c r="G101" s="22">
        <v>2200</v>
      </c>
      <c r="H101" s="26" t="s">
        <v>42</v>
      </c>
      <c r="I101" s="13"/>
      <c r="J101" s="13"/>
      <c r="K101" s="27">
        <f>IF(H101="",0,IF(J101&gt;0,0,IF(H101="A",G101,IF(H101="M",G101*12,IF(H101="W",G101*(Lookups!$B$9+1),IF(H101="B",G101*(+Lookups!$B$10),IF(H101="S",G101*2,IF(AND(G101=0,J101&gt;0),J101,"ERROR"))))))))</f>
        <v>2200</v>
      </c>
      <c r="L101" s="22">
        <v>2200</v>
      </c>
      <c r="M101" s="26" t="s">
        <v>42</v>
      </c>
      <c r="N101" s="13"/>
      <c r="O101" s="27">
        <f>IF(L101="",0,IF(N101&gt;0,0,IF(M101="A",L101,IF(M101="M",L101*12,IF(M101="W",L101*Lookups!B$9,IF(M101="B",L101*+Lookups!B$10,IF(M101="S",L101*2,IF(AND(L101=0,N101&gt;0),N101,"ERROR"))))))))</f>
        <v>2200</v>
      </c>
      <c r="P101" s="170">
        <f t="shared" si="1"/>
        <v>0</v>
      </c>
      <c r="Q101" s="171" t="str">
        <f>IF(AND(N101&gt;0,G101=0,L101=0),"X",IF(AND(N101&gt;0,G101&gt;0),"E",IF(P101="","",IF(P101=0,"S",IF(AND(P101&gt;0,NOT(G101=0)),"I",IF(AND(P101&gt;0,G101=0),"N",IF(P101&lt;0,"D","ERROR")))))))</f>
        <v>S</v>
      </c>
      <c r="R101" s="156" t="s">
        <v>585</v>
      </c>
      <c r="S101" s="153" t="s">
        <v>584</v>
      </c>
      <c r="T101" s="70" t="s">
        <v>475</v>
      </c>
      <c r="U101" s="70" t="s">
        <v>437</v>
      </c>
      <c r="V101" s="71" t="s">
        <v>414</v>
      </c>
      <c r="W101" s="72">
        <v>53406</v>
      </c>
    </row>
    <row r="102" spans="1:23" x14ac:dyDescent="0.35">
      <c r="A102" s="28" t="s">
        <v>144</v>
      </c>
      <c r="B102" s="4" t="s">
        <v>145</v>
      </c>
      <c r="C102" s="24">
        <v>1350</v>
      </c>
      <c r="D102" s="22">
        <v>1200</v>
      </c>
      <c r="E102" s="13">
        <v>800</v>
      </c>
      <c r="F102" s="27">
        <f>IF(D102=0,E102,IF(AND(E102=0,I102="A"),D102,IF(E102&gt;D102,E102, IF(E102/D102&gt;0.73,D102,E102))))</f>
        <v>800</v>
      </c>
      <c r="G102" s="22">
        <v>100</v>
      </c>
      <c r="H102" s="26" t="s">
        <v>46</v>
      </c>
      <c r="I102" s="13"/>
      <c r="J102" s="13"/>
      <c r="K102" s="27">
        <f>IF(H102="",0,IF(J102&gt;0,0,IF(H102="A",G102,IF(H102="M",G102*12,IF(H102="W",G102*(Lookups!$B$9+1),IF(H102="B",G102*(+Lookups!$B$10),IF(H102="S",G102*2,IF(AND(G102=0,J102&gt;0),J102,"ERROR"))))))))</f>
        <v>1200</v>
      </c>
      <c r="L102" s="22"/>
      <c r="M102" s="26"/>
      <c r="N102" s="13"/>
      <c r="O102" s="27">
        <f>IF(L102="",0,IF(N102&gt;0,0,IF(M102="A",L102,IF(M102="M",L102*12,IF(M102="W",L102*Lookups!B$9,IF(M102="B",L102*+Lookups!B$10,IF(M102="S",L102*2,IF(AND(L102=0,N102&gt;0),N102,"ERROR"))))))))</f>
        <v>0</v>
      </c>
      <c r="P102" s="170">
        <f t="shared" si="1"/>
        <v>-1200</v>
      </c>
      <c r="Q102" s="171" t="str">
        <f>IF(AND(N102&gt;0,G102=0,L102=0),"X",IF(AND(N102&gt;0,G102&gt;0),"E",IF(P102="","",IF(P102=0,"S",IF(AND(P102&gt;0,NOT(G102=0)),"I",IF(AND(P102&gt;0,G102=0),"N",IF(P102&lt;0,"D","ERROR")))))))</f>
        <v>D</v>
      </c>
      <c r="R102" s="156"/>
      <c r="T102" s="70" t="s">
        <v>476</v>
      </c>
      <c r="U102" s="70" t="s">
        <v>437</v>
      </c>
      <c r="V102" s="71" t="s">
        <v>414</v>
      </c>
      <c r="W102" s="72">
        <v>53402</v>
      </c>
    </row>
    <row r="103" spans="1:23" x14ac:dyDescent="0.35">
      <c r="A103" s="28" t="s">
        <v>294</v>
      </c>
      <c r="B103" s="4" t="s">
        <v>295</v>
      </c>
      <c r="C103" s="24">
        <v>600</v>
      </c>
      <c r="D103" s="22"/>
      <c r="E103" s="13">
        <v>540</v>
      </c>
      <c r="F103" s="27">
        <f>IF(D103=0,E103,IF(AND(E103=0,I103="A"),D103,IF(E103&gt;D103,E103, IF(E103/D103&gt;0.73,D103,E103))))</f>
        <v>540</v>
      </c>
      <c r="G103" s="22"/>
      <c r="H103" s="26"/>
      <c r="I103" s="13"/>
      <c r="J103" s="13">
        <v>600</v>
      </c>
      <c r="K103" s="27">
        <f>IF(H103="",0,IF(J103&gt;0,0,IF(H103="A",G103,IF(H103="M",G103*12,IF(H103="W",G103*(Lookups!$B$9+1),IF(H103="B",G103*(+Lookups!$B$10),IF(H103="S",G103*2,IF(AND(G103=0,J103&gt;0),J103,"ERROR"))))))))</f>
        <v>0</v>
      </c>
      <c r="L103" s="22"/>
      <c r="M103" s="26"/>
      <c r="N103" s="13"/>
      <c r="O103" s="27">
        <f>IF(L103="",0,IF(N103&gt;0,0,IF(M103="A",L103,IF(M103="M",L103*12,IF(M103="W",L103*Lookups!B$9,IF(M103="B",L103*+Lookups!B$10,IF(M103="S",L103*2,IF(AND(L103=0,N103&gt;0),N103,"ERROR"))))))))</f>
        <v>0</v>
      </c>
      <c r="P103" s="170" t="str">
        <f t="shared" si="1"/>
        <v/>
      </c>
      <c r="Q103" s="171" t="str">
        <f>IF(AND(N103&gt;0,G103=0,L103=0),"X",IF(AND(N103&gt;0,G103&gt;0),"E",IF(P103="","",IF(P103=0,"S",IF(AND(P103&gt;0,NOT(G103=0)),"I",IF(AND(P103&gt;0,G103=0),"N",IF(P103&lt;0,"D","ERROR")))))))</f>
        <v/>
      </c>
      <c r="R103" s="156"/>
    </row>
    <row r="104" spans="1:23" x14ac:dyDescent="0.35">
      <c r="A104" s="28" t="s">
        <v>146</v>
      </c>
      <c r="B104" s="4" t="s">
        <v>147</v>
      </c>
      <c r="C104" s="24">
        <v>920</v>
      </c>
      <c r="D104" s="22">
        <v>900</v>
      </c>
      <c r="E104" s="13">
        <v>675</v>
      </c>
      <c r="F104" s="27">
        <f>IF(D104=0,E104,IF(AND(E104=0,I104="A"),D104,IF(E104&gt;D104,E104, IF(E104/D104&gt;0.73,D104,E104))))</f>
        <v>900</v>
      </c>
      <c r="G104" s="22">
        <v>75</v>
      </c>
      <c r="H104" s="26" t="s">
        <v>46</v>
      </c>
      <c r="I104" s="13"/>
      <c r="J104" s="13"/>
      <c r="K104" s="27">
        <f>IF(H104="",0,IF(J104&gt;0,0,IF(H104="A",G104,IF(H104="M",G104*12,IF(H104="W",G104*(Lookups!$B$9+1),IF(H104="B",G104*(+Lookups!$B$10),IF(H104="S",G104*2,IF(AND(G104=0,J104&gt;0),J104,"ERROR"))))))))</f>
        <v>900</v>
      </c>
      <c r="L104" s="22"/>
      <c r="M104" s="26"/>
      <c r="N104" s="13"/>
      <c r="O104" s="27">
        <f>IF(L104="",0,IF(N104&gt;0,0,IF(M104="A",L104,IF(M104="M",L104*12,IF(M104="W",L104*Lookups!B$9,IF(M104="B",L104*+Lookups!B$10,IF(M104="S",L104*2,IF(AND(L104=0,N104&gt;0),N104,"ERROR"))))))))</f>
        <v>0</v>
      </c>
      <c r="P104" s="170">
        <f t="shared" si="1"/>
        <v>-900</v>
      </c>
      <c r="Q104" s="171" t="str">
        <f>IF(AND(N104&gt;0,G104=0,L104=0),"X",IF(AND(N104&gt;0,G104&gt;0),"E",IF(P104="","",IF(P104=0,"S",IF(AND(P104&gt;0,NOT(G104=0)),"I",IF(AND(P104&gt;0,G104=0),"N",IF(P104&lt;0,"D","ERROR")))))))</f>
        <v>D</v>
      </c>
      <c r="R104" s="156"/>
    </row>
    <row r="105" spans="1:23" x14ac:dyDescent="0.35">
      <c r="A105" s="28" t="s">
        <v>296</v>
      </c>
      <c r="B105" s="4" t="s">
        <v>297</v>
      </c>
      <c r="C105" s="24">
        <v>100</v>
      </c>
      <c r="D105" s="22"/>
      <c r="E105" s="13"/>
      <c r="F105" s="27">
        <f>IF(D105=0,E105,IF(AND(E105=0,I105="A"),D105,IF(E105&gt;D105,E105, IF(E105/D105&gt;0.73,D105,E105))))</f>
        <v>0</v>
      </c>
      <c r="G105" s="22"/>
      <c r="H105" s="26"/>
      <c r="I105" s="13"/>
      <c r="J105" s="13"/>
      <c r="K105" s="27">
        <f>IF(H105="",0,IF(J105&gt;0,0,IF(H105="A",G105,IF(H105="M",G105*12,IF(H105="W",G105*(Lookups!$B$9+1),IF(H105="B",G105*(+Lookups!$B$10),IF(H105="S",G105*2,IF(AND(G105=0,J105&gt;0),J105,"ERROR"))))))))</f>
        <v>0</v>
      </c>
      <c r="L105" s="22"/>
      <c r="M105" s="26"/>
      <c r="N105" s="13"/>
      <c r="O105" s="27">
        <f>IF(L105="",0,IF(N105&gt;0,0,IF(M105="A",L105,IF(M105="M",L105*12,IF(M105="W",L105*Lookups!B$9,IF(M105="B",L105*+Lookups!B$10,IF(M105="S",L105*2,IF(AND(L105=0,N105&gt;0),N105,"ERROR"))))))))</f>
        <v>0</v>
      </c>
      <c r="P105" s="170" t="str">
        <f t="shared" si="1"/>
        <v/>
      </c>
      <c r="Q105" s="171" t="str">
        <f>IF(AND(N105&gt;0,G105=0,L105=0),"X",IF(AND(N105&gt;0,G105&gt;0),"E",IF(P105="","",IF(P105=0,"S",IF(AND(P105&gt;0,NOT(G105=0)),"I",IF(AND(P105&gt;0,G105=0),"N",IF(P105&lt;0,"D","ERROR")))))))</f>
        <v/>
      </c>
      <c r="R105" s="156"/>
    </row>
    <row r="106" spans="1:23" x14ac:dyDescent="0.35">
      <c r="A106" s="28" t="s">
        <v>148</v>
      </c>
      <c r="B106" s="4" t="s">
        <v>149</v>
      </c>
      <c r="C106" s="24">
        <v>290</v>
      </c>
      <c r="D106" s="22">
        <v>840</v>
      </c>
      <c r="E106" s="13">
        <v>735</v>
      </c>
      <c r="F106" s="27">
        <f>IF(D106=0,E106,IF(AND(E106=0,I106="A"),D106,IF(E106&gt;D106,E106, IF(E106/D106&gt;0.73,D106,E106))))</f>
        <v>840</v>
      </c>
      <c r="G106" s="22"/>
      <c r="H106" s="26" t="s">
        <v>46</v>
      </c>
      <c r="I106" s="13"/>
      <c r="J106" s="13">
        <v>800</v>
      </c>
      <c r="K106" s="27">
        <f>IF(H106="",0,IF(J106&gt;0,0,IF(H106="A",G106,IF(H106="M",G106*12,IF(H106="W",G106*(Lookups!$B$9+1),IF(H106="B",G106*(+Lookups!$B$10),IF(H106="S",G106*2,IF(AND(G106=0,J106&gt;0),J106,"ERROR"))))))))</f>
        <v>0</v>
      </c>
      <c r="L106" s="22">
        <v>160</v>
      </c>
      <c r="M106" s="26" t="s">
        <v>46</v>
      </c>
      <c r="N106" s="13"/>
      <c r="O106" s="27">
        <f>IF(L106="",0,IF(N106&gt;0,0,IF(M106="A",L106,IF(M106="M",L106*12,IF(M106="W",L106*Lookups!B$9,IF(M106="B",L106*+Lookups!B$10,IF(M106="S",L106*2,IF(AND(L106=0,N106&gt;0),N106,"ERROR"))))))))</f>
        <v>1920</v>
      </c>
      <c r="P106" s="170">
        <f t="shared" si="1"/>
        <v>1920</v>
      </c>
      <c r="Q106" s="171" t="str">
        <f>IF(AND(N106&gt;0,G106=0,L106=0),"X",IF(AND(N106&gt;0,G106&gt;0),"E",IF(P106="","",IF(P106=0,"S",IF(AND(P106&gt;0,NOT(G106=0)),"I",IF(AND(P106&gt;0,G106=0),"N",IF(P106&lt;0,"D","ERROR")))))))</f>
        <v>N</v>
      </c>
      <c r="R106" s="156"/>
      <c r="S106" s="69" t="s">
        <v>586</v>
      </c>
      <c r="T106" s="70" t="s">
        <v>587</v>
      </c>
      <c r="U106" s="70" t="s">
        <v>437</v>
      </c>
      <c r="V106" s="71" t="s">
        <v>414</v>
      </c>
      <c r="W106" s="72">
        <v>53406</v>
      </c>
    </row>
    <row r="107" spans="1:23" x14ac:dyDescent="0.35">
      <c r="A107" s="28" t="s">
        <v>150</v>
      </c>
      <c r="B107" s="4" t="s">
        <v>151</v>
      </c>
      <c r="C107" s="24">
        <v>1400</v>
      </c>
      <c r="D107" s="22">
        <v>1400</v>
      </c>
      <c r="E107" s="13">
        <v>1400</v>
      </c>
      <c r="F107" s="27">
        <f>IF(D107=0,E107,IF(AND(E107=0,I107="A"),D107,IF(E107&gt;D107,E107, IF(E107/D107&gt;0.73,D107,E107))))</f>
        <v>1400</v>
      </c>
      <c r="G107" s="22">
        <v>1500</v>
      </c>
      <c r="H107" s="26" t="s">
        <v>42</v>
      </c>
      <c r="I107" s="13"/>
      <c r="J107" s="13"/>
      <c r="K107" s="27">
        <f>IF(H107="",0,IF(J107&gt;0,0,IF(H107="A",G107,IF(H107="M",G107*12,IF(H107="W",G107*(Lookups!$B$9+1),IF(H107="B",G107*(+Lookups!$B$10),IF(H107="S",G107*2,IF(AND(G107=0,J107&gt;0),J107,"ERROR"))))))))</f>
        <v>1500</v>
      </c>
      <c r="L107" s="22"/>
      <c r="M107" s="26"/>
      <c r="N107" s="13"/>
      <c r="O107" s="27">
        <f>IF(L107="",0,IF(N107&gt;0,0,IF(M107="A",L107,IF(M107="M",L107*12,IF(M107="W",L107*Lookups!B$9,IF(M107="B",L107*+Lookups!B$10,IF(M107="S",L107*2,IF(AND(L107=0,N107&gt;0),N107,"ERROR"))))))))</f>
        <v>0</v>
      </c>
      <c r="P107" s="170">
        <f t="shared" si="1"/>
        <v>-1500</v>
      </c>
      <c r="Q107" s="171" t="str">
        <f>IF(AND(N107&gt;0,G107=0,L107=0),"X",IF(AND(N107&gt;0,G107&gt;0),"E",IF(P107="","",IF(P107=0,"S",IF(AND(P107&gt;0,NOT(G107=0)),"I",IF(AND(P107&gt;0,G107=0),"N",IF(P107&lt;0,"D","ERROR")))))))</f>
        <v>D</v>
      </c>
      <c r="R107" s="156"/>
    </row>
    <row r="108" spans="1:23" x14ac:dyDescent="0.35">
      <c r="A108" s="28" t="s">
        <v>152</v>
      </c>
      <c r="B108" s="4" t="s">
        <v>153</v>
      </c>
      <c r="C108" s="24">
        <v>2650</v>
      </c>
      <c r="D108" s="22">
        <v>2860</v>
      </c>
      <c r="E108" s="13">
        <v>2090</v>
      </c>
      <c r="F108" s="27">
        <f>IF(D108=0,E108,IF(AND(E108=0,I108="A"),D108,IF(E108&gt;D108,E108, IF(E108/D108&gt;0.73,D108,E108))))</f>
        <v>2860</v>
      </c>
      <c r="G108" s="22">
        <v>60</v>
      </c>
      <c r="H108" s="26" t="s">
        <v>45</v>
      </c>
      <c r="I108" s="13"/>
      <c r="J108" s="13"/>
      <c r="K108" s="27">
        <f>IF(H108="",0,IF(J108&gt;0,0,IF(H108="A",G108,IF(H108="M",G108*12,IF(H108="W",G108*(Lookups!$B$9+1),IF(H108="B",G108*(+Lookups!$B$10),IF(H108="S",G108*2,IF(AND(G108=0,J108&gt;0),J108,"ERROR"))))))))</f>
        <v>3180</v>
      </c>
      <c r="L108" s="22">
        <v>60</v>
      </c>
      <c r="M108" s="26" t="s">
        <v>45</v>
      </c>
      <c r="N108" s="13"/>
      <c r="O108" s="27">
        <f>IF(L108="",0,IF(N108&gt;0,0,IF(M108="A",L108,IF(M108="M",L108*12,IF(M108="W",L108*Lookups!B$9,IF(M108="B",L108*+Lookups!B$10,IF(M108="S",L108*2,IF(AND(L108=0,N108&gt;0),N108,"ERROR"))))))))</f>
        <v>3120</v>
      </c>
      <c r="P108" s="170">
        <f t="shared" si="1"/>
        <v>-60</v>
      </c>
      <c r="Q108" s="171" t="str">
        <f>IF(AND(N108&gt;0,G108=0,L108=0),"X",IF(AND(N108&gt;0,G108&gt;0),"E",IF(P108="","",IF(P108=0,"S",IF(AND(P108&gt;0,NOT(G108=0)),"I",IF(AND(P108&gt;0,G108=0),"N",IF(P108&lt;0,"D","ERROR")))))))</f>
        <v>D</v>
      </c>
      <c r="R108" s="156"/>
      <c r="T108" s="70" t="s">
        <v>477</v>
      </c>
      <c r="U108" s="70" t="s">
        <v>437</v>
      </c>
      <c r="V108" s="71" t="s">
        <v>414</v>
      </c>
      <c r="W108" s="72">
        <v>53405</v>
      </c>
    </row>
    <row r="109" spans="1:23" ht="58" x14ac:dyDescent="0.35">
      <c r="A109" s="28" t="s">
        <v>154</v>
      </c>
      <c r="B109" s="4" t="s">
        <v>114</v>
      </c>
      <c r="C109" s="24">
        <v>4260</v>
      </c>
      <c r="D109" s="22">
        <v>4380</v>
      </c>
      <c r="E109" s="13">
        <v>3285</v>
      </c>
      <c r="F109" s="27">
        <f>IF(D109=0,E109,IF(AND(E109=0,I109="A"),D109,IF(E109&gt;D109,E109, IF(E109/D109&gt;0.73,D109,E109))))</f>
        <v>4380</v>
      </c>
      <c r="G109" s="22">
        <v>365</v>
      </c>
      <c r="H109" s="26" t="s">
        <v>46</v>
      </c>
      <c r="I109" s="13"/>
      <c r="J109" s="13"/>
      <c r="K109" s="27">
        <f>IF(H109="",0,IF(J109&gt;0,0,IF(H109="A",G109,IF(H109="M",G109*12,IF(H109="W",G109*(Lookups!$B$9+1),IF(H109="B",G109*(+Lookups!$B$10),IF(H109="S",G109*2,IF(AND(G109=0,J109&gt;0),J109,"ERROR"))))))))</f>
        <v>4380</v>
      </c>
      <c r="L109" s="22">
        <v>2060</v>
      </c>
      <c r="M109" s="26" t="s">
        <v>42</v>
      </c>
      <c r="N109" s="13"/>
      <c r="O109" s="27">
        <f>IF(L109="",0,IF(N109&gt;0,0,IF(M109="A",L109,IF(M109="M",L109*12,IF(M109="W",L109*Lookups!B$9,IF(M109="B",L109*+Lookups!B$10,IF(M109="S",L109*2,IF(AND(L109=0,N109&gt;0),N109,"ERROR"))))))))</f>
        <v>2060</v>
      </c>
      <c r="P109" s="170">
        <f t="shared" si="1"/>
        <v>-2320</v>
      </c>
      <c r="Q109" s="171" t="str">
        <f>IF(AND(N109&gt;0,G109=0,L109=0),"X",IF(AND(N109&gt;0,G109&gt;0),"E",IF(P109="","",IF(P109=0,"S",IF(AND(P109&gt;0,NOT(G109=0)),"I",IF(AND(P109&gt;0,G109=0),"N",IF(P109&lt;0,"D","ERROR")))))))</f>
        <v>D</v>
      </c>
      <c r="R109" s="164" t="s">
        <v>590</v>
      </c>
      <c r="S109" s="69" t="s">
        <v>588</v>
      </c>
      <c r="T109" s="70" t="s">
        <v>589</v>
      </c>
      <c r="U109" s="70" t="s">
        <v>437</v>
      </c>
      <c r="V109" s="71" t="s">
        <v>414</v>
      </c>
      <c r="W109" s="72">
        <v>53406</v>
      </c>
    </row>
    <row r="110" spans="1:23" x14ac:dyDescent="0.35">
      <c r="A110" s="28" t="s">
        <v>298</v>
      </c>
      <c r="B110" s="4" t="s">
        <v>299</v>
      </c>
      <c r="C110" s="24">
        <v>350</v>
      </c>
      <c r="D110" s="22"/>
      <c r="E110" s="13">
        <v>70</v>
      </c>
      <c r="F110" s="27">
        <f>IF(D110=0,E110,IF(AND(E110=0,I110="A"),D110,IF(E110&gt;D110,E110, IF(E110/D110&gt;0.73,D110,E110))))</f>
        <v>70</v>
      </c>
      <c r="G110" s="22"/>
      <c r="H110" s="26"/>
      <c r="I110" s="13"/>
      <c r="J110" s="13"/>
      <c r="K110" s="27">
        <f>IF(H110="",0,IF(J110&gt;0,0,IF(H110="A",G110,IF(H110="M",G110*12,IF(H110="W",G110*(Lookups!$B$9+1),IF(H110="B",G110*(+Lookups!$B$10),IF(H110="S",G110*2,IF(AND(G110=0,J110&gt;0),J110,"ERROR"))))))))</f>
        <v>0</v>
      </c>
      <c r="L110" s="22"/>
      <c r="M110" s="26"/>
      <c r="N110" s="13"/>
      <c r="O110" s="27">
        <f>IF(L110="",0,IF(N110&gt;0,0,IF(M110="A",L110,IF(M110="M",L110*12,IF(M110="W",L110*Lookups!B$9,IF(M110="B",L110*+Lookups!B$10,IF(M110="S",L110*2,IF(AND(L110=0,N110&gt;0),N110,"ERROR"))))))))</f>
        <v>0</v>
      </c>
      <c r="P110" s="170" t="str">
        <f t="shared" si="1"/>
        <v/>
      </c>
      <c r="Q110" s="171" t="str">
        <f>IF(AND(N110&gt;0,G110=0,L110=0),"X",IF(AND(N110&gt;0,G110&gt;0),"E",IF(P110="","",IF(P110=0,"S",IF(AND(P110&gt;0,NOT(G110=0)),"I",IF(AND(P110&gt;0,G110=0),"N",IF(P110&lt;0,"D","ERROR")))))))</f>
        <v/>
      </c>
      <c r="R110" s="156"/>
    </row>
    <row r="111" spans="1:23" x14ac:dyDescent="0.35">
      <c r="A111" s="28" t="s">
        <v>155</v>
      </c>
      <c r="B111" s="4" t="s">
        <v>156</v>
      </c>
      <c r="C111" s="24">
        <v>700</v>
      </c>
      <c r="D111" s="22">
        <v>600</v>
      </c>
      <c r="E111" s="13">
        <v>400</v>
      </c>
      <c r="F111" s="27">
        <f>IF(D111=0,E111,IF(AND(E111=0,I111="A"),D111,IF(E111&gt;D111,E111, IF(E111/D111&gt;0.73,D111,E111))))</f>
        <v>400</v>
      </c>
      <c r="G111" s="22"/>
      <c r="H111" s="26" t="s">
        <v>46</v>
      </c>
      <c r="I111" s="13"/>
      <c r="J111" s="13">
        <v>500</v>
      </c>
      <c r="K111" s="27">
        <f>IF(H111="",0,IF(J111&gt;0,0,IF(H111="A",G111,IF(H111="M",G111*12,IF(H111="W",G111*(Lookups!$B$9+1),IF(H111="B",G111*(+Lookups!$B$10),IF(H111="S",G111*2,IF(AND(G111=0,J111&gt;0),J111,"ERROR"))))))))</f>
        <v>0</v>
      </c>
      <c r="L111" s="22">
        <v>50</v>
      </c>
      <c r="M111" s="26" t="s">
        <v>46</v>
      </c>
      <c r="N111" s="13"/>
      <c r="O111" s="27">
        <f>IF(L111="",0,IF(N111&gt;0,0,IF(M111="A",L111,IF(M111="M",L111*12,IF(M111="W",L111*Lookups!B$9,IF(M111="B",L111*+Lookups!B$10,IF(M111="S",L111*2,IF(AND(L111=0,N111&gt;0),N111,"ERROR"))))))))</f>
        <v>600</v>
      </c>
      <c r="P111" s="170">
        <f t="shared" si="1"/>
        <v>600</v>
      </c>
      <c r="Q111" s="171" t="str">
        <f>IF(AND(N111&gt;0,G111=0,L111=0),"X",IF(AND(N111&gt;0,G111&gt;0),"E",IF(P111="","",IF(P111=0,"S",IF(AND(P111&gt;0,NOT(G111=0)),"I",IF(AND(P111&gt;0,G111=0),"N",IF(P111&lt;0,"D","ERROR")))))))</f>
        <v>N</v>
      </c>
      <c r="R111" s="156"/>
      <c r="T111" s="70" t="s">
        <v>591</v>
      </c>
      <c r="U111" s="70" t="s">
        <v>437</v>
      </c>
      <c r="V111" s="71" t="s">
        <v>414</v>
      </c>
      <c r="W111" s="72" t="s">
        <v>592</v>
      </c>
    </row>
    <row r="112" spans="1:23" x14ac:dyDescent="0.35">
      <c r="A112" s="28" t="s">
        <v>157</v>
      </c>
      <c r="B112" s="4" t="s">
        <v>158</v>
      </c>
      <c r="C112" s="24">
        <v>1390</v>
      </c>
      <c r="D112" s="22">
        <v>1300</v>
      </c>
      <c r="E112" s="13">
        <v>1045</v>
      </c>
      <c r="F112" s="27">
        <f>IF(D112=0,E112,IF(AND(E112=0,I112="A"),D112,IF(E112&gt;D112,E112, IF(E112/D112&gt;0.73,D112,E112))))</f>
        <v>1300</v>
      </c>
      <c r="G112" s="22">
        <v>25</v>
      </c>
      <c r="H112" s="26" t="s">
        <v>45</v>
      </c>
      <c r="I112" s="13"/>
      <c r="J112" s="13"/>
      <c r="K112" s="27">
        <f>IF(H112="",0,IF(J112&gt;0,0,IF(H112="A",G112,IF(H112="M",G112*12,IF(H112="W",G112*(Lookups!$B$9+1),IF(H112="B",G112*(+Lookups!$B$10),IF(H112="S",G112*2,IF(AND(G112=0,J112&gt;0),J112,"ERROR"))))))))</f>
        <v>1325</v>
      </c>
      <c r="L112" s="22">
        <v>25</v>
      </c>
      <c r="M112" s="26" t="s">
        <v>45</v>
      </c>
      <c r="N112" s="13"/>
      <c r="O112" s="27">
        <f>IF(L112="",0,IF(N112&gt;0,0,IF(M112="A",L112,IF(M112="M",L112*12,IF(M112="W",L112*Lookups!B$9,IF(M112="B",L112*+Lookups!B$10,IF(M112="S",L112*2,IF(AND(L112=0,N112&gt;0),N112,"ERROR"))))))))</f>
        <v>1300</v>
      </c>
      <c r="P112" s="170">
        <f t="shared" si="1"/>
        <v>-25</v>
      </c>
      <c r="Q112" s="171" t="str">
        <f>IF(AND(N112&gt;0,G112=0,L112=0),"X",IF(AND(N112&gt;0,G112&gt;0),"E",IF(P112="","",IF(P112=0,"S",IF(AND(P112&gt;0,NOT(G112=0)),"I",IF(AND(P112&gt;0,G112=0),"N",IF(P112&lt;0,"D","ERROR")))))))</f>
        <v>D</v>
      </c>
      <c r="R112" s="156"/>
      <c r="S112" s="69" t="s">
        <v>593</v>
      </c>
      <c r="T112" s="70" t="s">
        <v>594</v>
      </c>
      <c r="U112" s="70" t="s">
        <v>437</v>
      </c>
      <c r="V112" s="71" t="s">
        <v>414</v>
      </c>
      <c r="W112" s="72">
        <v>53402</v>
      </c>
    </row>
    <row r="113" spans="1:24" x14ac:dyDescent="0.35">
      <c r="A113" s="28" t="s">
        <v>386</v>
      </c>
      <c r="B113" s="4" t="s">
        <v>387</v>
      </c>
      <c r="C113" s="24"/>
      <c r="D113" s="22"/>
      <c r="E113" s="13">
        <v>40</v>
      </c>
      <c r="F113" s="27">
        <f>IF(D113=0,E113,IF(AND(E113=0,I113="A"),D113,IF(E113&gt;D113,E113, IF(E113/D113&gt;0.73,D113,E113))))</f>
        <v>40</v>
      </c>
      <c r="G113" s="22"/>
      <c r="H113" s="26"/>
      <c r="I113" s="13"/>
      <c r="J113" s="13"/>
      <c r="K113" s="27">
        <f>IF(H113="",0,IF(J113&gt;0,0,IF(H113="A",G113,IF(H113="M",G113*12,IF(H113="W",G113*(Lookups!$B$9+1),IF(H113="B",G113*(+Lookups!$B$10),IF(H113="S",G113*2,IF(AND(G113=0,J113&gt;0),J113,"ERROR"))))))))</f>
        <v>0</v>
      </c>
      <c r="L113" s="22"/>
      <c r="M113" s="26"/>
      <c r="N113" s="13"/>
      <c r="O113" s="27">
        <f>IF(L113="",0,IF(N113&gt;0,0,IF(M113="A",L113,IF(M113="M",L113*12,IF(M113="W",L113*Lookups!B$9,IF(M113="B",L113*+Lookups!B$10,IF(M113="S",L113*2,IF(AND(L113=0,N113&gt;0),N113,"ERROR"))))))))</f>
        <v>0</v>
      </c>
      <c r="P113" s="170" t="str">
        <f t="shared" si="1"/>
        <v/>
      </c>
      <c r="Q113" s="171" t="str">
        <f>IF(AND(N113&gt;0,G113=0,L113=0),"X",IF(AND(N113&gt;0,G113&gt;0),"E",IF(P113="","",IF(P113=0,"S",IF(AND(P113&gt;0,NOT(G113=0)),"I",IF(AND(P113&gt;0,G113=0),"N",IF(P113&lt;0,"D","ERROR")))))))</f>
        <v/>
      </c>
      <c r="R113" s="156"/>
    </row>
    <row r="114" spans="1:24" x14ac:dyDescent="0.35">
      <c r="A114" s="28" t="s">
        <v>159</v>
      </c>
      <c r="B114" s="4" t="s">
        <v>300</v>
      </c>
      <c r="C114" s="24">
        <v>960</v>
      </c>
      <c r="D114" s="22"/>
      <c r="E114" s="13">
        <v>955</v>
      </c>
      <c r="F114" s="27">
        <f>IF(D114=0,E114,IF(AND(E114=0,I114="A"),D114,IF(E114&gt;D114,E114, IF(E114/D114&gt;0.73,D114,E114))))</f>
        <v>955</v>
      </c>
      <c r="G114" s="22"/>
      <c r="H114" s="26"/>
      <c r="I114" s="13"/>
      <c r="J114" s="13">
        <v>900</v>
      </c>
      <c r="K114" s="27">
        <f>IF(H114="",0,IF(J114&gt;0,0,IF(H114="A",G114,IF(H114="M",G114*12,IF(H114="W",G114*(Lookups!$B$9+1),IF(H114="B",G114*(+Lookups!$B$10),IF(H114="S",G114*2,IF(AND(G114=0,J114&gt;0),J114,"ERROR"))))))))</f>
        <v>0</v>
      </c>
      <c r="L114" s="22"/>
      <c r="M114" s="26"/>
      <c r="N114" s="13"/>
      <c r="O114" s="27">
        <f>IF(L114="",0,IF(N114&gt;0,0,IF(M114="A",L114,IF(M114="M",L114*12,IF(M114="W",L114*Lookups!B$9,IF(M114="B",L114*+Lookups!B$10,IF(M114="S",L114*2,IF(AND(L114=0,N114&gt;0),N114,"ERROR"))))))))</f>
        <v>0</v>
      </c>
      <c r="P114" s="170" t="str">
        <f t="shared" si="1"/>
        <v/>
      </c>
      <c r="Q114" s="171" t="str">
        <f>IF(AND(N114&gt;0,G114=0,L114=0),"X",IF(AND(N114&gt;0,G114&gt;0),"E",IF(P114="","",IF(P114=0,"S",IF(AND(P114&gt;0,NOT(G114=0)),"I",IF(AND(P114&gt;0,G114=0),"N",IF(P114&lt;0,"D","ERROR")))))))</f>
        <v/>
      </c>
      <c r="R114" s="156"/>
    </row>
    <row r="115" spans="1:24" x14ac:dyDescent="0.35">
      <c r="A115" s="28" t="s">
        <v>159</v>
      </c>
      <c r="B115" s="4" t="s">
        <v>160</v>
      </c>
      <c r="C115" s="24">
        <v>7420</v>
      </c>
      <c r="D115" s="22">
        <v>7800</v>
      </c>
      <c r="E115" s="13">
        <v>5850</v>
      </c>
      <c r="F115" s="27">
        <f>IF(D115=0,E115,IF(AND(E115=0,I115="A"),D115,IF(E115&gt;D115,E115, IF(E115/D115&gt;0.73,D115,E115))))</f>
        <v>7800</v>
      </c>
      <c r="G115" s="22">
        <v>150</v>
      </c>
      <c r="H115" s="26" t="s">
        <v>45</v>
      </c>
      <c r="I115" s="13"/>
      <c r="J115" s="13"/>
      <c r="K115" s="27">
        <f>IF(H115="",0,IF(J115&gt;0,0,IF(H115="A",G115,IF(H115="M",G115*12,IF(H115="W",G115*(Lookups!$B$9+1),IF(H115="B",G115*(+Lookups!$B$10),IF(H115="S",G115*2,IF(AND(G115=0,J115&gt;0),J115,"ERROR"))))))))</f>
        <v>7950</v>
      </c>
      <c r="L115" s="22"/>
      <c r="M115" s="26"/>
      <c r="N115" s="13"/>
      <c r="O115" s="27">
        <f>IF(L115="",0,IF(N115&gt;0,0,IF(M115="A",L115,IF(M115="M",L115*12,IF(M115="W",L115*Lookups!B$9,IF(M115="B",L115*+Lookups!B$10,IF(M115="S",L115*2,IF(AND(L115=0,N115&gt;0),N115,"ERROR"))))))))</f>
        <v>0</v>
      </c>
      <c r="P115" s="170">
        <f t="shared" si="1"/>
        <v>-7950</v>
      </c>
      <c r="Q115" s="171" t="str">
        <f>IF(AND(N115&gt;0,G115=0,L115=0),"X",IF(AND(N115&gt;0,G115&gt;0),"E",IF(P115="","",IF(P115=0,"S",IF(AND(P115&gt;0,NOT(G115=0)),"I",IF(AND(P115&gt;0,G115=0),"N",IF(P115&lt;0,"D","ERROR")))))))</f>
        <v>D</v>
      </c>
      <c r="R115" s="156"/>
      <c r="S115" s="69" t="s">
        <v>478</v>
      </c>
      <c r="T115" s="70" t="s">
        <v>479</v>
      </c>
      <c r="U115" s="70" t="s">
        <v>480</v>
      </c>
      <c r="V115" s="71" t="s">
        <v>414</v>
      </c>
      <c r="W115" s="72">
        <v>53154</v>
      </c>
      <c r="X115" s="70" t="s">
        <v>518</v>
      </c>
    </row>
    <row r="116" spans="1:24" x14ac:dyDescent="0.35">
      <c r="A116" s="28" t="s">
        <v>301</v>
      </c>
      <c r="B116" s="4" t="s">
        <v>302</v>
      </c>
      <c r="C116" s="24">
        <v>600</v>
      </c>
      <c r="D116" s="22"/>
      <c r="E116" s="13">
        <v>400</v>
      </c>
      <c r="F116" s="27">
        <f>IF(D116=0,E116,IF(AND(E116=0,I116="A"),D116,IF(E116&gt;D116,E116, IF(E116/D116&gt;0.73,D116,E116))))</f>
        <v>400</v>
      </c>
      <c r="G116" s="22"/>
      <c r="H116" s="26"/>
      <c r="I116" s="13"/>
      <c r="J116" s="13">
        <v>400</v>
      </c>
      <c r="K116" s="27">
        <f>IF(H116="",0,IF(J116&gt;0,0,IF(H116="A",G116,IF(H116="M",G116*12,IF(H116="W",G116*(Lookups!$B$9+1),IF(H116="B",G116*(+Lookups!$B$10),IF(H116="S",G116*2,IF(AND(G116=0,J116&gt;0),J116,"ERROR"))))))))</f>
        <v>0</v>
      </c>
      <c r="L116" s="22"/>
      <c r="M116" s="26"/>
      <c r="N116" s="13"/>
      <c r="O116" s="27">
        <f>IF(L116="",0,IF(N116&gt;0,0,IF(M116="A",L116,IF(M116="M",L116*12,IF(M116="W",L116*Lookups!B$9,IF(M116="B",L116*+Lookups!B$10,IF(M116="S",L116*2,IF(AND(L116=0,N116&gt;0),N116,"ERROR"))))))))</f>
        <v>0</v>
      </c>
      <c r="P116" s="170" t="str">
        <f t="shared" si="1"/>
        <v/>
      </c>
      <c r="Q116" s="171" t="str">
        <f>IF(AND(N116&gt;0,G116=0,L116=0),"X",IF(AND(N116&gt;0,G116&gt;0),"E",IF(P116="","",IF(P116=0,"S",IF(AND(P116&gt;0,NOT(G116=0)),"I",IF(AND(P116&gt;0,G116=0),"N",IF(P116&lt;0,"D","ERROR")))))))</f>
        <v/>
      </c>
      <c r="R116" s="156"/>
    </row>
    <row r="117" spans="1:24" x14ac:dyDescent="0.35">
      <c r="A117" s="28" t="s">
        <v>303</v>
      </c>
      <c r="B117" s="4" t="s">
        <v>304</v>
      </c>
      <c r="C117" s="24">
        <v>600</v>
      </c>
      <c r="D117" s="22"/>
      <c r="E117" s="13">
        <v>450</v>
      </c>
      <c r="F117" s="27">
        <f>IF(D117=0,E117,IF(AND(E117=0,I117="A"),D117,IF(E117&gt;D117,E117, IF(E117/D117&gt;0.73,D117,E117))))</f>
        <v>450</v>
      </c>
      <c r="G117" s="22"/>
      <c r="H117" s="26"/>
      <c r="I117" s="13"/>
      <c r="J117" s="13">
        <v>400</v>
      </c>
      <c r="K117" s="27">
        <f>IF(H117="",0,IF(J117&gt;0,0,IF(H117="A",G117,IF(H117="M",G117*12,IF(H117="W",G117*(Lookups!$B$9+1),IF(H117="B",G117*(+Lookups!$B$10),IF(H117="S",G117*2,IF(AND(G117=0,J117&gt;0),J117,"ERROR"))))))))</f>
        <v>0</v>
      </c>
      <c r="L117" s="22"/>
      <c r="M117" s="26"/>
      <c r="N117" s="13"/>
      <c r="O117" s="27">
        <f>IF(L117="",0,IF(N117&gt;0,0,IF(M117="A",L117,IF(M117="M",L117*12,IF(M117="W",L117*Lookups!B$9,IF(M117="B",L117*+Lookups!B$10,IF(M117="S",L117*2,IF(AND(L117=0,N117&gt;0),N117,"ERROR"))))))))</f>
        <v>0</v>
      </c>
      <c r="P117" s="170" t="str">
        <f t="shared" si="1"/>
        <v/>
      </c>
      <c r="Q117" s="171" t="str">
        <f>IF(AND(N117&gt;0,G117=0,L117=0),"X",IF(AND(N117&gt;0,G117&gt;0),"E",IF(P117="","",IF(P117=0,"S",IF(AND(P117&gt;0,NOT(G117=0)),"I",IF(AND(P117&gt;0,G117=0),"N",IF(P117&lt;0,"D","ERROR")))))))</f>
        <v/>
      </c>
      <c r="R117" s="156"/>
    </row>
    <row r="118" spans="1:24" x14ac:dyDescent="0.35">
      <c r="A118" s="28" t="s">
        <v>305</v>
      </c>
      <c r="B118" s="4" t="s">
        <v>306</v>
      </c>
      <c r="C118" s="24">
        <v>2580</v>
      </c>
      <c r="D118" s="22"/>
      <c r="E118" s="13">
        <v>500</v>
      </c>
      <c r="F118" s="27">
        <f>IF(D118=0,E118,IF(AND(E118=0,I118="A"),D118,IF(E118&gt;D118,E118, IF(E118/D118&gt;0.73,D118,E118))))</f>
        <v>500</v>
      </c>
      <c r="G118" s="22"/>
      <c r="H118" s="26"/>
      <c r="I118" s="13"/>
      <c r="J118" s="13">
        <v>400</v>
      </c>
      <c r="K118" s="27">
        <f>IF(H118="",0,IF(J118&gt;0,0,IF(H118="A",G118,IF(H118="M",G118*12,IF(H118="W",G118*(Lookups!$B$9+1),IF(H118="B",G118*(+Lookups!$B$10),IF(H118="S",G118*2,IF(AND(G118=0,J118&gt;0),J118,"ERROR"))))))))</f>
        <v>0</v>
      </c>
      <c r="L118" s="22"/>
      <c r="M118" s="26"/>
      <c r="N118" s="13"/>
      <c r="O118" s="27">
        <f>IF(L118="",0,IF(N118&gt;0,0,IF(M118="A",L118,IF(M118="M",L118*12,IF(M118="W",L118*Lookups!B$9,IF(M118="B",L118*+Lookups!B$10,IF(M118="S",L118*2,IF(AND(L118=0,N118&gt;0),N118,"ERROR"))))))))</f>
        <v>0</v>
      </c>
      <c r="P118" s="170" t="str">
        <f t="shared" si="1"/>
        <v/>
      </c>
      <c r="Q118" s="171" t="str">
        <f>IF(AND(N118&gt;0,G118=0,L118=0),"X",IF(AND(N118&gt;0,G118&gt;0),"E",IF(P118="","",IF(P118=0,"S",IF(AND(P118&gt;0,NOT(G118=0)),"I",IF(AND(P118&gt;0,G118=0),"N",IF(P118&lt;0,"D","ERROR")))))))</f>
        <v/>
      </c>
      <c r="R118" s="156"/>
    </row>
    <row r="119" spans="1:24" x14ac:dyDescent="0.35">
      <c r="A119" s="28" t="s">
        <v>388</v>
      </c>
      <c r="B119" s="4" t="s">
        <v>389</v>
      </c>
      <c r="C119" s="24"/>
      <c r="D119" s="22"/>
      <c r="E119" s="13">
        <v>100</v>
      </c>
      <c r="F119" s="27">
        <f>IF(D119=0,E119,IF(AND(E119=0,I119="A"),D119,IF(E119&gt;D119,E119, IF(E119/D119&gt;0.73,D119,E119))))</f>
        <v>100</v>
      </c>
      <c r="G119" s="22"/>
      <c r="H119" s="26"/>
      <c r="I119" s="13"/>
      <c r="J119" s="13"/>
      <c r="K119" s="27">
        <f>IF(H119="",0,IF(J119&gt;0,0,IF(H119="A",G119,IF(H119="M",G119*12,IF(H119="W",G119*(Lookups!$B$9+1),IF(H119="B",G119*(+Lookups!$B$10),IF(H119="S",G119*2,IF(AND(G119=0,J119&gt;0),J119,"ERROR"))))))))</f>
        <v>0</v>
      </c>
      <c r="L119" s="22"/>
      <c r="M119" s="26"/>
      <c r="N119" s="13"/>
      <c r="O119" s="27">
        <f>IF(L119="",0,IF(N119&gt;0,0,IF(M119="A",L119,IF(M119="M",L119*12,IF(M119="W",L119*Lookups!B$9,IF(M119="B",L119*+Lookups!B$10,IF(M119="S",L119*2,IF(AND(L119=0,N119&gt;0),N119,"ERROR"))))))))</f>
        <v>0</v>
      </c>
      <c r="P119" s="170" t="str">
        <f t="shared" si="1"/>
        <v/>
      </c>
      <c r="Q119" s="171" t="str">
        <f>IF(AND(N119&gt;0,G119=0,L119=0),"X",IF(AND(N119&gt;0,G119&gt;0),"E",IF(P119="","",IF(P119=0,"S",IF(AND(P119&gt;0,NOT(G119=0)),"I",IF(AND(P119&gt;0,G119=0),"N",IF(P119&lt;0,"D","ERROR")))))))</f>
        <v/>
      </c>
      <c r="R119" s="156"/>
    </row>
    <row r="120" spans="1:24" x14ac:dyDescent="0.35">
      <c r="A120" s="28" t="s">
        <v>161</v>
      </c>
      <c r="B120" s="4" t="s">
        <v>162</v>
      </c>
      <c r="C120" s="24">
        <v>1125</v>
      </c>
      <c r="D120" s="22">
        <v>1040</v>
      </c>
      <c r="E120" s="13">
        <v>750</v>
      </c>
      <c r="F120" s="27">
        <f>IF(D120=0,E120,IF(AND(E120=0,I120="A"),D120,IF(E120&gt;D120,E120, IF(E120/D120&gt;0.73,D120,E120))))</f>
        <v>750</v>
      </c>
      <c r="G120" s="22"/>
      <c r="H120" s="26" t="s">
        <v>45</v>
      </c>
      <c r="I120" s="13"/>
      <c r="J120" s="13">
        <v>1000</v>
      </c>
      <c r="K120" s="27">
        <f>IF(H120="",0,IF(J120&gt;0,0,IF(H120="A",G120,IF(H120="M",G120*12,IF(H120="W",G120*(Lookups!$B$9+1),IF(H120="B",G120*(+Lookups!$B$10),IF(H120="S",G120*2,IF(AND(G120=0,J120&gt;0),J120,"ERROR"))))))))</f>
        <v>0</v>
      </c>
      <c r="L120" s="22"/>
      <c r="M120" s="26"/>
      <c r="N120" s="13"/>
      <c r="O120" s="27">
        <f>IF(L120="",0,IF(N120&gt;0,0,IF(M120="A",L120,IF(M120="M",L120*12,IF(M120="W",L120*Lookups!B$9,IF(M120="B",L120*+Lookups!B$10,IF(M120="S",L120*2,IF(AND(L120=0,N120&gt;0),N120,"ERROR"))))))))</f>
        <v>0</v>
      </c>
      <c r="P120" s="170" t="str">
        <f t="shared" si="1"/>
        <v/>
      </c>
      <c r="Q120" s="171" t="str">
        <f>IF(AND(N120&gt;0,G120=0,L120=0),"X",IF(AND(N120&gt;0,G120&gt;0),"E",IF(P120="","",IF(P120=0,"S",IF(AND(P120&gt;0,NOT(G120=0)),"I",IF(AND(P120&gt;0,G120=0),"N",IF(P120&lt;0,"D","ERROR")))))))</f>
        <v/>
      </c>
      <c r="R120" s="156"/>
    </row>
    <row r="121" spans="1:24" x14ac:dyDescent="0.35">
      <c r="A121" s="28" t="s">
        <v>390</v>
      </c>
      <c r="B121" s="4" t="s">
        <v>29</v>
      </c>
      <c r="C121" s="24"/>
      <c r="D121" s="22"/>
      <c r="E121" s="13">
        <v>180</v>
      </c>
      <c r="F121" s="27">
        <f>IF(D121=0,E121,IF(AND(E121=0,I121="A"),D121,IF(E121&gt;D121,E121, IF(E121/D121&gt;0.73,D121,E121))))</f>
        <v>180</v>
      </c>
      <c r="G121" s="22">
        <v>75</v>
      </c>
      <c r="H121" s="26" t="s">
        <v>46</v>
      </c>
      <c r="I121" s="13"/>
      <c r="J121" s="13"/>
      <c r="K121" s="27">
        <f>IF(H121="",0,IF(J121&gt;0,0,IF(H121="A",G121,IF(H121="M",G121*12,IF(H121="W",G121*(Lookups!$B$9+1),IF(H121="B",G121*(+Lookups!$B$10),IF(H121="S",G121*2,IF(AND(G121=0,J121&gt;0),J121,"ERROR"))))))))</f>
        <v>900</v>
      </c>
      <c r="L121" s="22">
        <v>75</v>
      </c>
      <c r="M121" s="26" t="s">
        <v>46</v>
      </c>
      <c r="N121" s="13"/>
      <c r="O121" s="27">
        <f>IF(L121="",0,IF(N121&gt;0,0,IF(M121="A",L121,IF(M121="M",L121*12,IF(M121="W",L121*Lookups!B$9,IF(M121="B",L121*+Lookups!B$10,IF(M121="S",L121*2,IF(AND(L121=0,N121&gt;0),N121,"ERROR"))))))))</f>
        <v>900</v>
      </c>
      <c r="P121" s="170">
        <f t="shared" si="1"/>
        <v>0</v>
      </c>
      <c r="Q121" s="171" t="str">
        <f>IF(AND(N121&gt;0,G121=0,L121=0),"X",IF(AND(N121&gt;0,G121&gt;0),"E",IF(P121="","",IF(P121=0,"S",IF(AND(P121&gt;0,NOT(G121=0)),"I",IF(AND(P121&gt;0,G121=0),"N",IF(P121&lt;0,"D","ERROR")))))))</f>
        <v>S</v>
      </c>
      <c r="R121" s="156"/>
      <c r="S121" s="69" t="s">
        <v>595</v>
      </c>
      <c r="T121" s="70" t="s">
        <v>596</v>
      </c>
      <c r="U121" s="70" t="s">
        <v>582</v>
      </c>
      <c r="V121" s="71" t="s">
        <v>414</v>
      </c>
      <c r="W121" s="72">
        <v>53406</v>
      </c>
    </row>
    <row r="122" spans="1:24" x14ac:dyDescent="0.35">
      <c r="A122" s="28" t="s">
        <v>390</v>
      </c>
      <c r="B122" s="4" t="s">
        <v>328</v>
      </c>
      <c r="C122" s="24"/>
      <c r="D122" s="22"/>
      <c r="E122" s="13">
        <v>2000</v>
      </c>
      <c r="F122" s="27">
        <f>IF(D122=0,E122,IF(AND(E122=0,I122="A"),D122,IF(E122&gt;D122,E122, IF(E122/D122&gt;0.73,D122,E122))))</f>
        <v>2000</v>
      </c>
      <c r="G122" s="22"/>
      <c r="H122" s="26"/>
      <c r="I122" s="13"/>
      <c r="J122" s="13">
        <v>2000</v>
      </c>
      <c r="K122" s="27">
        <f>IF(H122="",0,IF(J122&gt;0,0,IF(H122="A",G122,IF(H122="M",G122*12,IF(H122="W",G122*(Lookups!$B$9+1),IF(H122="B",G122*(+Lookups!$B$10),IF(H122="S",G122*2,IF(AND(G122=0,J122&gt;0),J122,"ERROR"))))))))</f>
        <v>0</v>
      </c>
      <c r="L122" s="22">
        <v>500</v>
      </c>
      <c r="M122" s="26" t="s">
        <v>46</v>
      </c>
      <c r="N122" s="13"/>
      <c r="O122" s="27">
        <f>IF(L122="",0,IF(N122&gt;0,0,IF(M122="A",L122,IF(M122="M",L122*12,IF(M122="W",L122*Lookups!B$9,IF(M122="B",L122*+Lookups!B$10,IF(M122="S",L122*2,IF(AND(L122=0,N122&gt;0),N122,"ERROR"))))))))</f>
        <v>6000</v>
      </c>
      <c r="P122" s="170">
        <f t="shared" si="1"/>
        <v>6000</v>
      </c>
      <c r="Q122" s="171" t="str">
        <f>IF(AND(N122&gt;0,G122=0,L122=0),"X",IF(AND(N122&gt;0,G122&gt;0),"E",IF(P122="","",IF(P122=0,"S",IF(AND(P122&gt;0,NOT(G122=0)),"I",IF(AND(P122&gt;0,G122=0),"N",IF(P122&lt;0,"D","ERROR")))))))</f>
        <v>N</v>
      </c>
      <c r="R122" s="156"/>
      <c r="S122" s="69" t="s">
        <v>597</v>
      </c>
      <c r="T122" s="70" t="s">
        <v>598</v>
      </c>
      <c r="U122" s="70" t="s">
        <v>437</v>
      </c>
      <c r="V122" s="71" t="s">
        <v>414</v>
      </c>
      <c r="W122" s="72">
        <v>53403</v>
      </c>
    </row>
    <row r="123" spans="1:24" x14ac:dyDescent="0.35">
      <c r="A123" s="28" t="s">
        <v>307</v>
      </c>
      <c r="B123" s="4" t="s">
        <v>308</v>
      </c>
      <c r="C123" s="24">
        <v>2800</v>
      </c>
      <c r="D123" s="22"/>
      <c r="E123" s="13">
        <v>900</v>
      </c>
      <c r="F123" s="27">
        <f>IF(D123=0,E123,IF(AND(E123=0,I123="A"),D123,IF(E123&gt;D123,E123, IF(E123/D123&gt;0.73,D123,E123))))</f>
        <v>900</v>
      </c>
      <c r="G123" s="22"/>
      <c r="H123" s="26"/>
      <c r="I123" s="13"/>
      <c r="J123" s="13">
        <v>1000</v>
      </c>
      <c r="K123" s="27">
        <f>IF(H123="",0,IF(J123&gt;0,0,IF(H123="A",G123,IF(H123="M",G123*12,IF(H123="W",G123*(Lookups!$B$9+1),IF(H123="B",G123*(+Lookups!$B$10),IF(H123="S",G123*2,IF(AND(G123=0,J123&gt;0),J123,"ERROR"))))))))</f>
        <v>0</v>
      </c>
      <c r="L123" s="22"/>
      <c r="M123" s="26"/>
      <c r="N123" s="13"/>
      <c r="O123" s="27">
        <f>IF(L123="",0,IF(N123&gt;0,0,IF(M123="A",L123,IF(M123="M",L123*12,IF(M123="W",L123*Lookups!B$9,IF(M123="B",L123*+Lookups!B$10,IF(M123="S",L123*2,IF(AND(L123=0,N123&gt;0),N123,"ERROR"))))))))</f>
        <v>0</v>
      </c>
      <c r="P123" s="170" t="str">
        <f t="shared" si="1"/>
        <v/>
      </c>
      <c r="Q123" s="171" t="str">
        <f>IF(AND(N123&gt;0,G123=0,L123=0),"X",IF(AND(N123&gt;0,G123&gt;0),"E",IF(P123="","",IF(P123=0,"S",IF(AND(P123&gt;0,NOT(G123=0)),"I",IF(AND(P123&gt;0,G123=0),"N",IF(P123&lt;0,"D","ERROR")))))))</f>
        <v/>
      </c>
      <c r="R123" s="156"/>
    </row>
    <row r="124" spans="1:24" x14ac:dyDescent="0.35">
      <c r="A124" s="28" t="s">
        <v>163</v>
      </c>
      <c r="B124" s="4" t="s">
        <v>164</v>
      </c>
      <c r="C124" s="24">
        <v>4560</v>
      </c>
      <c r="D124" s="22">
        <v>4680</v>
      </c>
      <c r="E124" s="13">
        <v>3390</v>
      </c>
      <c r="F124" s="27">
        <f>IF(D124=0,E124,IF(AND(E124=0,I124="A"),D124,IF(E124&gt;D124,E124, IF(E124/D124&gt;0.73,D124,E124))))</f>
        <v>3390</v>
      </c>
      <c r="G124" s="22"/>
      <c r="H124" s="26" t="s">
        <v>45</v>
      </c>
      <c r="I124" s="13"/>
      <c r="J124" s="13">
        <v>4000</v>
      </c>
      <c r="K124" s="27">
        <f>IF(H124="",0,IF(J124&gt;0,0,IF(H124="A",G124,IF(H124="M",G124*12,IF(H124="W",G124*(Lookups!$B$9+1),IF(H124="B",G124*(+Lookups!$B$10),IF(H124="S",G124*2,IF(AND(G124=0,J124&gt;0),J124,"ERROR"))))))))</f>
        <v>0</v>
      </c>
      <c r="L124" s="22"/>
      <c r="M124" s="26"/>
      <c r="N124" s="13"/>
      <c r="O124" s="27">
        <f>IF(L124="",0,IF(N124&gt;0,0,IF(M124="A",L124,IF(M124="M",L124*12,IF(M124="W",L124*Lookups!B$9,IF(M124="B",L124*+Lookups!B$10,IF(M124="S",L124*2,IF(AND(L124=0,N124&gt;0),N124,"ERROR"))))))))</f>
        <v>0</v>
      </c>
      <c r="P124" s="170" t="str">
        <f t="shared" si="1"/>
        <v/>
      </c>
      <c r="Q124" s="171" t="str">
        <f>IF(AND(N124&gt;0,G124=0,L124=0),"X",IF(AND(N124&gt;0,G124&gt;0),"E",IF(P124="","",IF(P124=0,"S",IF(AND(P124&gt;0,NOT(G124=0)),"I",IF(AND(P124&gt;0,G124=0),"N",IF(P124&lt;0,"D","ERROR")))))))</f>
        <v/>
      </c>
      <c r="R124" s="156"/>
    </row>
    <row r="125" spans="1:24" x14ac:dyDescent="0.35">
      <c r="A125" s="28" t="s">
        <v>391</v>
      </c>
      <c r="B125" s="4" t="s">
        <v>392</v>
      </c>
      <c r="C125" s="24"/>
      <c r="D125" s="22"/>
      <c r="E125" s="13">
        <v>500</v>
      </c>
      <c r="F125" s="27">
        <f>IF(D125=0,E125,IF(AND(E125=0,I125="A"),D125,IF(E125&gt;D125,E125, IF(E125/D125&gt;0.73,D125,E125))))</f>
        <v>500</v>
      </c>
      <c r="G125" s="22">
        <v>100</v>
      </c>
      <c r="H125" s="26" t="s">
        <v>46</v>
      </c>
      <c r="I125" s="13"/>
      <c r="J125" s="13"/>
      <c r="K125" s="27">
        <f>IF(H125="",0,IF(J125&gt;0,0,IF(H125="A",G125,IF(H125="M",G125*12,IF(H125="W",G125*(Lookups!$B$9+1),IF(H125="B",G125*(+Lookups!$B$10),IF(H125="S",G125*2,IF(AND(G125=0,J125&gt;0),J125,"ERROR"))))))))</f>
        <v>1200</v>
      </c>
      <c r="L125" s="22">
        <v>100</v>
      </c>
      <c r="M125" s="26" t="s">
        <v>46</v>
      </c>
      <c r="N125" s="13"/>
      <c r="O125" s="27">
        <f>IF(L125="",0,IF(N125&gt;0,0,IF(M125="A",L125,IF(M125="M",L125*12,IF(M125="W",L125*Lookups!B$9,IF(M125="B",L125*+Lookups!B$10,IF(M125="S",L125*2,IF(AND(L125=0,N125&gt;0),N125,"ERROR"))))))))</f>
        <v>1200</v>
      </c>
      <c r="P125" s="170">
        <f t="shared" si="1"/>
        <v>0</v>
      </c>
      <c r="Q125" s="171" t="str">
        <f>IF(AND(N125&gt;0,G125=0,L125=0),"X",IF(AND(N125&gt;0,G125&gt;0),"E",IF(P125="","",IF(P125=0,"S",IF(AND(P125&gt;0,NOT(G125=0)),"I",IF(AND(P125&gt;0,G125=0),"N",IF(P125&lt;0,"D","ERROR")))))))</f>
        <v>S</v>
      </c>
      <c r="R125" s="156"/>
      <c r="S125" s="69" t="s">
        <v>481</v>
      </c>
      <c r="T125" s="70" t="s">
        <v>482</v>
      </c>
      <c r="U125" s="70" t="s">
        <v>437</v>
      </c>
      <c r="V125" s="71" t="s">
        <v>414</v>
      </c>
      <c r="W125" s="72">
        <v>53402</v>
      </c>
    </row>
    <row r="126" spans="1:24" x14ac:dyDescent="0.35">
      <c r="A126" s="28" t="s">
        <v>165</v>
      </c>
      <c r="B126" s="4" t="s">
        <v>166</v>
      </c>
      <c r="C126" s="24">
        <v>3840</v>
      </c>
      <c r="D126" s="22">
        <v>3840</v>
      </c>
      <c r="E126" s="13">
        <v>2880</v>
      </c>
      <c r="F126" s="27">
        <f>IF(D126=0,E126,IF(AND(E126=0,I126="A"),D126,IF(E126&gt;D126,E126, IF(E126/D126&gt;0.73,D126,E126))))</f>
        <v>3840</v>
      </c>
      <c r="G126" s="22">
        <v>320</v>
      </c>
      <c r="H126" s="26" t="s">
        <v>46</v>
      </c>
      <c r="I126" s="13"/>
      <c r="J126" s="13"/>
      <c r="K126" s="27">
        <f>IF(H126="",0,IF(J126&gt;0,0,IF(H126="A",G126,IF(H126="M",G126*12,IF(H126="W",G126*(Lookups!$B$9+1),IF(H126="B",G126*(+Lookups!$B$10),IF(H126="S",G126*2,IF(AND(G126=0,J126&gt;0),J126,"ERROR"))))))))</f>
        <v>3840</v>
      </c>
      <c r="L126" s="22">
        <v>340</v>
      </c>
      <c r="M126" s="26" t="s">
        <v>46</v>
      </c>
      <c r="N126" s="13"/>
      <c r="O126" s="27">
        <f>IF(L126="",0,IF(N126&gt;0,0,IF(M126="A",L126,IF(M126="M",L126*12,IF(M126="W",L126*Lookups!B$9,IF(M126="B",L126*+Lookups!B$10,IF(M126="S",L126*2,IF(AND(L126=0,N126&gt;0),N126,"ERROR"))))))))</f>
        <v>4080</v>
      </c>
      <c r="P126" s="170">
        <f t="shared" si="1"/>
        <v>240</v>
      </c>
      <c r="Q126" s="171" t="str">
        <f>IF(AND(N126&gt;0,G126=0,L126=0),"X",IF(AND(N126&gt;0,G126&gt;0),"E",IF(P126="","",IF(P126=0,"S",IF(AND(P126&gt;0,NOT(G126=0)),"I",IF(AND(P126&gt;0,G126=0),"N",IF(P126&lt;0,"D","ERROR")))))))</f>
        <v>I</v>
      </c>
      <c r="R126" s="156"/>
      <c r="S126" s="69" t="s">
        <v>483</v>
      </c>
      <c r="T126" s="70" t="s">
        <v>484</v>
      </c>
      <c r="U126" s="70" t="s">
        <v>437</v>
      </c>
      <c r="V126" s="71" t="s">
        <v>414</v>
      </c>
      <c r="W126" s="72" t="s">
        <v>599</v>
      </c>
    </row>
    <row r="127" spans="1:24" x14ac:dyDescent="0.35">
      <c r="A127" s="143" t="s">
        <v>309</v>
      </c>
      <c r="B127" s="144" t="s">
        <v>306</v>
      </c>
      <c r="C127" s="165">
        <v>100</v>
      </c>
      <c r="D127" s="146"/>
      <c r="E127" s="145"/>
      <c r="F127" s="147">
        <f>IF(D127=0,E127,IF(AND(E127=0,I127="A"),D127,IF(E127&gt;D127,E127, IF(E127/D127&gt;0.73,D127,E127))))</f>
        <v>0</v>
      </c>
      <c r="G127" s="146"/>
      <c r="H127" s="148"/>
      <c r="I127" s="145"/>
      <c r="J127" s="145"/>
      <c r="K127" s="147">
        <f>IF(H127="",0,IF(J127&gt;0,0,IF(H127="A",G127,IF(H127="M",G127*12,IF(H127="W",G127*(Lookups!$B$9+1),IF(H127="B",G127*(+Lookups!$B$10),IF(H127="S",G127*2,IF(AND(G127=0,J127&gt;0),J127,"ERROR"))))))))</f>
        <v>0</v>
      </c>
      <c r="L127" s="146"/>
      <c r="M127" s="148"/>
      <c r="N127" s="145"/>
      <c r="O127" s="147">
        <f>IF(L127="",0,IF(N127&gt;0,0,IF(M127="A",L127,IF(M127="M",L127*12,IF(M127="W",L127*Lookups!B$9,IF(M127="B",L127*+Lookups!B$10,IF(M127="S",L127*2,IF(AND(L127=0,N127&gt;0),N127,"ERROR"))))))))</f>
        <v>0</v>
      </c>
      <c r="P127" s="170" t="str">
        <f t="shared" si="1"/>
        <v/>
      </c>
      <c r="Q127" s="171" t="str">
        <f>IF(AND(N127&gt;0,G127=0,L127=0),"X",IF(AND(N127&gt;0,G127&gt;0),"E",IF(P127="","",IF(P127=0,"S",IF(AND(P127&gt;0,NOT(G127=0)),"I",IF(AND(P127&gt;0,G127=0),"N",IF(P127&lt;0,"D","ERROR")))))))</f>
        <v/>
      </c>
      <c r="R127" s="157"/>
      <c r="S127" s="149" t="s">
        <v>521</v>
      </c>
      <c r="T127" s="149"/>
      <c r="U127" s="149"/>
      <c r="V127" s="150"/>
      <c r="W127" s="151"/>
    </row>
    <row r="128" spans="1:24" x14ac:dyDescent="0.35">
      <c r="A128" s="28" t="s">
        <v>167</v>
      </c>
      <c r="B128" s="4" t="s">
        <v>310</v>
      </c>
      <c r="C128" s="24">
        <v>780</v>
      </c>
      <c r="D128" s="22">
        <v>884</v>
      </c>
      <c r="E128" s="13">
        <v>620</v>
      </c>
      <c r="F128" s="27">
        <f>IF(D128=0,E128,IF(AND(E128=0,I128="A"),D128,IF(E128&gt;D128,E128, IF(E128/D128&gt;0.73,D128,E128))))</f>
        <v>620</v>
      </c>
      <c r="G128" s="22">
        <v>20</v>
      </c>
      <c r="H128" s="26" t="s">
        <v>45</v>
      </c>
      <c r="I128" s="13"/>
      <c r="J128" s="13"/>
      <c r="K128" s="27">
        <f>IF(H128="",0,IF(J128&gt;0,0,IF(H128="A",G128,IF(H128="M",G128*12,IF(H128="W",G128*(Lookups!$B$9+1),IF(H128="B",G128*(+Lookups!$B$10),IF(H128="S",G128*2,IF(AND(G128=0,J128&gt;0),J128,"ERROR"))))))))</f>
        <v>1060</v>
      </c>
      <c r="L128" s="22">
        <v>20</v>
      </c>
      <c r="M128" s="26" t="s">
        <v>45</v>
      </c>
      <c r="N128" s="13"/>
      <c r="O128" s="27">
        <f>IF(L128="",0,IF(N128&gt;0,0,IF(M128="A",L128,IF(M128="M",L128*12,IF(M128="W",L128*Lookups!B$9,IF(M128="B",L128*+Lookups!B$10,IF(M128="S",L128*2,IF(AND(L128=0,N128&gt;0),N128,"ERROR"))))))))</f>
        <v>1040</v>
      </c>
      <c r="P128" s="170">
        <f t="shared" si="1"/>
        <v>-20</v>
      </c>
      <c r="Q128" s="171" t="str">
        <f>IF(AND(N128&gt;0,G128=0,L128=0),"X",IF(AND(N128&gt;0,G128&gt;0),"E",IF(P128="","",IF(P128=0,"S",IF(AND(P128&gt;0,NOT(G128=0)),"I",IF(AND(P128&gt;0,G128=0),"N",IF(P128&lt;0,"D","ERROR")))))))</f>
        <v>D</v>
      </c>
      <c r="R128" s="156"/>
      <c r="S128" s="69" t="s">
        <v>485</v>
      </c>
      <c r="T128" s="70" t="s">
        <v>486</v>
      </c>
      <c r="U128" s="70" t="s">
        <v>419</v>
      </c>
      <c r="V128" s="71" t="s">
        <v>414</v>
      </c>
      <c r="W128" s="72">
        <v>53126</v>
      </c>
    </row>
    <row r="129" spans="1:23" x14ac:dyDescent="0.35">
      <c r="A129" s="28" t="s">
        <v>168</v>
      </c>
      <c r="B129" s="4" t="s">
        <v>169</v>
      </c>
      <c r="C129" s="24">
        <v>91</v>
      </c>
      <c r="D129" s="22">
        <v>364</v>
      </c>
      <c r="E129" s="13">
        <v>161</v>
      </c>
      <c r="F129" s="27">
        <f>IF(D129=0,E129,IF(AND(E129=0,I129="A"),D129,IF(E129&gt;D129,E129, IF(E129/D129&gt;0.73,D129,E129))))</f>
        <v>161</v>
      </c>
      <c r="G129" s="22">
        <v>8</v>
      </c>
      <c r="H129" s="26" t="s">
        <v>45</v>
      </c>
      <c r="I129" s="13"/>
      <c r="J129" s="13"/>
      <c r="K129" s="27">
        <f>IF(H129="",0,IF(J129&gt;0,0,IF(H129="A",G129,IF(H129="M",G129*12,IF(H129="W",G129*(Lookups!$B$9+1),IF(H129="B",G129*(+Lookups!$B$10),IF(H129="S",G129*2,IF(AND(G129=0,J129&gt;0),J129,"ERROR"))))))))</f>
        <v>424</v>
      </c>
      <c r="L129" s="22">
        <v>9</v>
      </c>
      <c r="M129" s="26" t="s">
        <v>45</v>
      </c>
      <c r="N129" s="13"/>
      <c r="O129" s="27">
        <f>IF(L129="",0,IF(N129&gt;0,0,IF(M129="A",L129,IF(M129="M",L129*12,IF(M129="W",L129*Lookups!B$9,IF(M129="B",L129*+Lookups!B$10,IF(M129="S",L129*2,IF(AND(L129=0,N129&gt;0),N129,"ERROR"))))))))</f>
        <v>468</v>
      </c>
      <c r="P129" s="170">
        <f t="shared" si="1"/>
        <v>44</v>
      </c>
      <c r="Q129" s="171" t="str">
        <f>IF(AND(N129&gt;0,G129=0,L129=0),"X",IF(AND(N129&gt;0,G129&gt;0),"E",IF(P129="","",IF(P129=0,"S",IF(AND(P129&gt;0,NOT(G129=0)),"I",IF(AND(P129&gt;0,G129=0),"N",IF(P129&lt;0,"D","ERROR")))))))</f>
        <v>I</v>
      </c>
      <c r="R129" s="156"/>
      <c r="S129" s="69" t="s">
        <v>487</v>
      </c>
      <c r="T129" s="70" t="s">
        <v>488</v>
      </c>
      <c r="U129" s="70" t="s">
        <v>437</v>
      </c>
      <c r="V129" s="71" t="s">
        <v>414</v>
      </c>
      <c r="W129" s="72">
        <v>53406</v>
      </c>
    </row>
    <row r="130" spans="1:23" x14ac:dyDescent="0.35">
      <c r="A130" s="28" t="s">
        <v>170</v>
      </c>
      <c r="B130" s="4" t="s">
        <v>171</v>
      </c>
      <c r="C130" s="24">
        <v>3450</v>
      </c>
      <c r="D130" s="22">
        <v>3600</v>
      </c>
      <c r="E130" s="13">
        <v>2700</v>
      </c>
      <c r="F130" s="27">
        <f>IF(D130=0,E130,IF(AND(E130=0,I130="A"),D130,IF(E130&gt;D130,E130, IF(E130/D130&gt;0.73,D130,E130))))</f>
        <v>3600</v>
      </c>
      <c r="G130" s="22">
        <v>300</v>
      </c>
      <c r="H130" s="26" t="s">
        <v>46</v>
      </c>
      <c r="I130" s="13"/>
      <c r="J130" s="13"/>
      <c r="K130" s="27">
        <f>IF(H130="",0,IF(J130&gt;0,0,IF(H130="A",G130,IF(H130="M",G130*12,IF(H130="W",G130*(Lookups!$B$9+1),IF(H130="B",G130*(+Lookups!$B$10),IF(H130="S",G130*2,IF(AND(G130=0,J130&gt;0),J130,"ERROR"))))))))</f>
        <v>3600</v>
      </c>
      <c r="L130" s="22"/>
      <c r="M130" s="26"/>
      <c r="N130" s="13"/>
      <c r="O130" s="27">
        <f>IF(L130="",0,IF(N130&gt;0,0,IF(M130="A",L130,IF(M130="M",L130*12,IF(M130="W",L130*Lookups!B$9,IF(M130="B",L130*+Lookups!B$10,IF(M130="S",L130*2,IF(AND(L130=0,N130&gt;0),N130,"ERROR"))))))))</f>
        <v>0</v>
      </c>
      <c r="P130" s="170">
        <f t="shared" si="1"/>
        <v>-3600</v>
      </c>
      <c r="Q130" s="171" t="str">
        <f>IF(AND(N130&gt;0,G130=0,L130=0),"X",IF(AND(N130&gt;0,G130&gt;0),"E",IF(P130="","",IF(P130=0,"S",IF(AND(P130&gt;0,NOT(G130=0)),"I",IF(AND(P130&gt;0,G130=0),"N",IF(P130&lt;0,"D","ERROR")))))))</f>
        <v>D</v>
      </c>
      <c r="R130" s="156"/>
    </row>
    <row r="131" spans="1:23" x14ac:dyDescent="0.35">
      <c r="A131" s="28" t="s">
        <v>172</v>
      </c>
      <c r="B131" s="4" t="s">
        <v>311</v>
      </c>
      <c r="C131" s="24">
        <v>40</v>
      </c>
      <c r="D131" s="22"/>
      <c r="E131" s="13">
        <v>40</v>
      </c>
      <c r="F131" s="27">
        <f>IF(D131=0,E131,IF(AND(E131=0,I131="A"),D131,IF(E131&gt;D131,E131, IF(E131/D131&gt;0.73,D131,E131))))</f>
        <v>40</v>
      </c>
      <c r="G131" s="22"/>
      <c r="H131" s="26"/>
      <c r="I131" s="13"/>
      <c r="J131" s="13"/>
      <c r="K131" s="27">
        <f>IF(H131="",0,IF(J131&gt;0,0,IF(H131="A",G131,IF(H131="M",G131*12,IF(H131="W",G131*(Lookups!$B$9+1),IF(H131="B",G131*(+Lookups!$B$10),IF(H131="S",G131*2,IF(AND(G131=0,J131&gt;0),J131,"ERROR"))))))))</f>
        <v>0</v>
      </c>
      <c r="L131" s="22"/>
      <c r="M131" s="26"/>
      <c r="N131" s="13"/>
      <c r="O131" s="27">
        <f>IF(L131="",0,IF(N131&gt;0,0,IF(M131="A",L131,IF(M131="M",L131*12,IF(M131="W",L131*Lookups!B$9,IF(M131="B",L131*+Lookups!B$10,IF(M131="S",L131*2,IF(AND(L131=0,N131&gt;0),N131,"ERROR"))))))))</f>
        <v>0</v>
      </c>
      <c r="P131" s="170" t="str">
        <f t="shared" si="1"/>
        <v/>
      </c>
      <c r="Q131" s="171" t="str">
        <f>IF(AND(N131&gt;0,G131=0,L131=0),"X",IF(AND(N131&gt;0,G131&gt;0),"E",IF(P131="","",IF(P131=0,"S",IF(AND(P131&gt;0,NOT(G131=0)),"I",IF(AND(P131&gt;0,G131=0),"N",IF(P131&lt;0,"D","ERROR")))))))</f>
        <v/>
      </c>
      <c r="R131" s="156"/>
    </row>
    <row r="132" spans="1:23" x14ac:dyDescent="0.35">
      <c r="A132" s="28" t="s">
        <v>172</v>
      </c>
      <c r="B132" s="4" t="s">
        <v>489</v>
      </c>
      <c r="C132" s="24">
        <v>4900</v>
      </c>
      <c r="D132" s="22">
        <v>5040</v>
      </c>
      <c r="E132" s="13">
        <v>3825</v>
      </c>
      <c r="F132" s="27">
        <f>IF(D132=0,E132,IF(AND(E132=0,I132="A"),D132,IF(E132&gt;D132,E132, IF(E132/D132&gt;0.73,D132,E132))))</f>
        <v>5040</v>
      </c>
      <c r="G132" s="22">
        <v>420</v>
      </c>
      <c r="H132" s="26" t="s">
        <v>46</v>
      </c>
      <c r="I132" s="13"/>
      <c r="J132" s="13"/>
      <c r="K132" s="27">
        <f>IF(H132="",0,IF(J132&gt;0,0,IF(H132="A",G132,IF(H132="M",G132*12,IF(H132="W",G132*(Lookups!$B$9+1),IF(H132="B",G132*(+Lookups!$B$10),IF(H132="S",G132*2,IF(AND(G132=0,J132&gt;0),J132,"ERROR"))))))))</f>
        <v>5040</v>
      </c>
      <c r="L132" s="22">
        <v>430</v>
      </c>
      <c r="M132" s="26" t="s">
        <v>46</v>
      </c>
      <c r="N132" s="13"/>
      <c r="O132" s="27">
        <f>IF(L132="",0,IF(N132&gt;0,0,IF(M132="A",L132,IF(M132="M",L132*12,IF(M132="W",L132*Lookups!B$9,IF(M132="B",L132*+Lookups!B$10,IF(M132="S",L132*2,IF(AND(L132=0,N132&gt;0),N132,"ERROR"))))))))</f>
        <v>5160</v>
      </c>
      <c r="P132" s="170">
        <f t="shared" si="1"/>
        <v>120</v>
      </c>
      <c r="Q132" s="171" t="str">
        <f>IF(AND(N132&gt;0,G132=0,L132=0),"X",IF(AND(N132&gt;0,G132&gt;0),"E",IF(P132="","",IF(P132=0,"S",IF(AND(P132&gt;0,NOT(G132=0)),"I",IF(AND(P132&gt;0,G132=0),"N",IF(P132&lt;0,"D","ERROR")))))))</f>
        <v>I</v>
      </c>
      <c r="R132" s="156"/>
      <c r="S132" s="69" t="s">
        <v>490</v>
      </c>
      <c r="T132" s="70" t="s">
        <v>491</v>
      </c>
      <c r="U132" s="70" t="s">
        <v>431</v>
      </c>
      <c r="V132" s="71" t="s">
        <v>414</v>
      </c>
      <c r="W132" s="72">
        <v>53108</v>
      </c>
    </row>
    <row r="133" spans="1:23" x14ac:dyDescent="0.35">
      <c r="A133" s="28" t="s">
        <v>172</v>
      </c>
      <c r="B133" s="4" t="s">
        <v>312</v>
      </c>
      <c r="C133" s="24">
        <v>1560</v>
      </c>
      <c r="D133" s="22"/>
      <c r="E133" s="13"/>
      <c r="F133" s="27">
        <f>IF(D133=0,E133,IF(AND(E133=0,I133="A"),D133,IF(E133&gt;D133,E133, IF(E133/D133&gt;0.73,D133,E133))))</f>
        <v>0</v>
      </c>
      <c r="G133" s="22"/>
      <c r="H133" s="26"/>
      <c r="I133" s="13"/>
      <c r="J133" s="13"/>
      <c r="K133" s="27">
        <f>IF(H133="",0,IF(J133&gt;0,0,IF(H133="A",G133,IF(H133="M",G133*12,IF(H133="W",G133*(Lookups!$B$9+1),IF(H133="B",G133*(+Lookups!$B$10),IF(H133="S",G133*2,IF(AND(G133=0,J133&gt;0),J133,"ERROR"))))))))</f>
        <v>0</v>
      </c>
      <c r="L133" s="22"/>
      <c r="M133" s="26"/>
      <c r="N133" s="13"/>
      <c r="O133" s="27">
        <f>IF(L133="",0,IF(N133&gt;0,0,IF(M133="A",L133,IF(M133="M",L133*12,IF(M133="W",L133*Lookups!B$9,IF(M133="B",L133*+Lookups!B$10,IF(M133="S",L133*2,IF(AND(L133=0,N133&gt;0),N133,"ERROR"))))))))</f>
        <v>0</v>
      </c>
      <c r="P133" s="170" t="str">
        <f t="shared" si="1"/>
        <v/>
      </c>
      <c r="Q133" s="171" t="str">
        <f>IF(AND(N133&gt;0,G133=0,L133=0),"X",IF(AND(N133&gt;0,G133&gt;0),"E",IF(P133="","",IF(P133=0,"S",IF(AND(P133&gt;0,NOT(G133=0)),"I",IF(AND(P133&gt;0,G133=0),"N",IF(P133&lt;0,"D","ERROR")))))))</f>
        <v/>
      </c>
      <c r="R133" s="156"/>
    </row>
    <row r="134" spans="1:23" ht="29" x14ac:dyDescent="0.35">
      <c r="A134" s="28" t="s">
        <v>172</v>
      </c>
      <c r="B134" s="4" t="s">
        <v>171</v>
      </c>
      <c r="C134" s="24">
        <v>0</v>
      </c>
      <c r="D134" s="22"/>
      <c r="E134" s="13"/>
      <c r="F134" s="27">
        <f>IF(D134=0,E134,IF(AND(E134=0,I134="A"),D134,IF(E134&gt;D134,E134, IF(E134/D134&gt;0.73,D134,E134))))</f>
        <v>0</v>
      </c>
      <c r="G134" s="22"/>
      <c r="H134" s="26"/>
      <c r="I134" s="13"/>
      <c r="J134" s="13"/>
      <c r="K134" s="27">
        <f>IF(H134="",0,IF(J134&gt;0,0,IF(H134="A",G134,IF(H134="M",G134*12,IF(H134="W",G134*(Lookups!$B$9+1),IF(H134="B",G134*(+Lookups!$B$10),IF(H134="S",G134*2,IF(AND(G134=0,J134&gt;0),J134,"ERROR"))))))))</f>
        <v>0</v>
      </c>
      <c r="L134" s="22">
        <v>300</v>
      </c>
      <c r="M134" s="26" t="s">
        <v>46</v>
      </c>
      <c r="N134" s="13"/>
      <c r="O134" s="27">
        <f>IF(L134="",0,IF(N134&gt;0,0,IF(M134="A",L134,IF(M134="M",L134*12,IF(M134="W",L134*Lookups!B$9,IF(M134="B",L134*+Lookups!B$10,IF(M134="S",L134*2,IF(AND(L134=0,N134&gt;0),N134,"ERROR"))))))))</f>
        <v>3600</v>
      </c>
      <c r="P134" s="170">
        <f t="shared" ref="P134" si="4">IF(AND(O134=0,G134=0),"",IF(N134&gt;0,"",ROUND(+O134-K134,0)))</f>
        <v>3600</v>
      </c>
      <c r="Q134" s="171" t="str">
        <f>IF(AND(N134&gt;0,G134=0,L134=0),"X",IF(AND(N134&gt;0,G134&gt;0),"E",IF(P134="","",IF(P134=0,"S",IF(AND(P134&gt;0,NOT(G134=0)),"I",IF(AND(P134&gt;0,G134=0),"N",IF(P134&lt;0,"D","ERROR")))))))</f>
        <v>N</v>
      </c>
      <c r="R134" s="164" t="s">
        <v>602</v>
      </c>
      <c r="S134" s="69" t="s">
        <v>600</v>
      </c>
      <c r="T134" s="70" t="s">
        <v>601</v>
      </c>
      <c r="U134" s="70" t="s">
        <v>437</v>
      </c>
      <c r="V134" s="71" t="s">
        <v>414</v>
      </c>
      <c r="W134" s="72">
        <v>53405</v>
      </c>
    </row>
    <row r="135" spans="1:23" x14ac:dyDescent="0.35">
      <c r="A135" s="28" t="s">
        <v>172</v>
      </c>
      <c r="B135" s="4" t="s">
        <v>313</v>
      </c>
      <c r="C135" s="24">
        <v>240</v>
      </c>
      <c r="D135" s="22"/>
      <c r="E135" s="13">
        <v>20</v>
      </c>
      <c r="F135" s="27">
        <f>IF(D135=0,E135,IF(AND(E135=0,I135="A"),D135,IF(E135&gt;D135,E135, IF(E135/D135&gt;0.73,D135,E135))))</f>
        <v>20</v>
      </c>
      <c r="G135" s="22"/>
      <c r="H135" s="26"/>
      <c r="I135" s="13"/>
      <c r="J135" s="13"/>
      <c r="K135" s="27">
        <f>IF(H135="",0,IF(J135&gt;0,0,IF(H135="A",G135,IF(H135="M",G135*12,IF(H135="W",G135*(Lookups!$B$9+1),IF(H135="B",G135*(+Lookups!$B$10),IF(H135="S",G135*2,IF(AND(G135=0,J135&gt;0),J135,"ERROR"))))))))</f>
        <v>0</v>
      </c>
      <c r="L135" s="22"/>
      <c r="M135" s="26"/>
      <c r="N135" s="13"/>
      <c r="O135" s="27">
        <f>IF(L135="",0,IF(N135&gt;0,0,IF(M135="A",L135,IF(M135="M",L135*12,IF(M135="W",L135*Lookups!B$9,IF(M135="B",L135*+Lookups!B$10,IF(M135="S",L135*2,IF(AND(L135=0,N135&gt;0),N135,"ERROR"))))))))</f>
        <v>0</v>
      </c>
      <c r="P135" s="170" t="str">
        <f t="shared" si="1"/>
        <v/>
      </c>
      <c r="Q135" s="171" t="str">
        <f>IF(AND(N135&gt;0,G135=0,L135=0),"X",IF(AND(N135&gt;0,G135&gt;0),"E",IF(P135="","",IF(P135=0,"S",IF(AND(P135&gt;0,NOT(G135=0)),"I",IF(AND(P135&gt;0,G135=0),"N",IF(P135&lt;0,"D","ERROR")))))))</f>
        <v/>
      </c>
      <c r="R135" s="156"/>
    </row>
    <row r="136" spans="1:23" x14ac:dyDescent="0.35">
      <c r="A136" s="28" t="s">
        <v>314</v>
      </c>
      <c r="B136" s="4" t="s">
        <v>315</v>
      </c>
      <c r="C136" s="24">
        <v>200</v>
      </c>
      <c r="D136" s="22"/>
      <c r="E136" s="13"/>
      <c r="F136" s="27">
        <f>IF(D136=0,E136,IF(AND(E136=0,I136="A"),D136,IF(E136&gt;D136,E136, IF(E136/D136&gt;0.73,D136,E136))))</f>
        <v>0</v>
      </c>
      <c r="G136" s="22"/>
      <c r="H136" s="26"/>
      <c r="I136" s="13"/>
      <c r="J136" s="13"/>
      <c r="K136" s="27">
        <f>IF(H136="",0,IF(J136&gt;0,0,IF(H136="A",G136,IF(H136="M",G136*12,IF(H136="W",G136*(Lookups!$B$9+1),IF(H136="B",G136*(+Lookups!$B$10),IF(H136="S",G136*2,IF(AND(G136=0,J136&gt;0),J136,"ERROR"))))))))</f>
        <v>0</v>
      </c>
      <c r="L136" s="22"/>
      <c r="M136" s="26"/>
      <c r="N136" s="13"/>
      <c r="O136" s="27">
        <f>IF(L136="",0,IF(N136&gt;0,0,IF(M136="A",L136,IF(M136="M",L136*12,IF(M136="W",L136*Lookups!B$9,IF(M136="B",L136*+Lookups!B$10,IF(M136="S",L136*2,IF(AND(L136=0,N136&gt;0),N136,"ERROR"))))))))</f>
        <v>0</v>
      </c>
      <c r="P136" s="170" t="str">
        <f t="shared" ref="P136:P199" si="5">IF(AND(O136=0,G136=0),"",IF(N136&gt;0,"",ROUND(+O136-K136,0)))</f>
        <v/>
      </c>
      <c r="Q136" s="171" t="str">
        <f>IF(AND(N136&gt;0,G136=0,L136=0),"X",IF(AND(N136&gt;0,G136&gt;0),"E",IF(P136="","",IF(P136=0,"S",IF(AND(P136&gt;0,NOT(G136=0)),"I",IF(AND(P136&gt;0,G136=0),"N",IF(P136&lt;0,"D","ERROR")))))))</f>
        <v/>
      </c>
      <c r="R136" s="156"/>
    </row>
    <row r="137" spans="1:23" x14ac:dyDescent="0.35">
      <c r="A137" s="28" t="s">
        <v>316</v>
      </c>
      <c r="B137" s="4" t="s">
        <v>317</v>
      </c>
      <c r="C137" s="24">
        <v>3000</v>
      </c>
      <c r="D137" s="22"/>
      <c r="E137" s="13">
        <v>4000</v>
      </c>
      <c r="F137" s="27">
        <f>IF(D137=0,E137,IF(AND(E137=0,I137="A"),D137,IF(E137&gt;D137,E137, IF(E137/D137&gt;0.73,D137,E137))))</f>
        <v>4000</v>
      </c>
      <c r="G137" s="22">
        <v>3000</v>
      </c>
      <c r="H137" s="26" t="s">
        <v>42</v>
      </c>
      <c r="I137" s="13"/>
      <c r="J137" s="13"/>
      <c r="K137" s="27">
        <f>IF(H137="",0,IF(J137&gt;0,0,IF(H137="A",G137,IF(H137="M",G137*12,IF(H137="W",G137*(Lookups!$B$9+1),IF(H137="B",G137*(+Lookups!$B$10),IF(H137="S",G137*2,IF(AND(G137=0,J137&gt;0),J137,"ERROR"))))))))</f>
        <v>3000</v>
      </c>
      <c r="L137" s="22"/>
      <c r="M137" s="26"/>
      <c r="N137" s="13"/>
      <c r="O137" s="27">
        <f>IF(L137="",0,IF(N137&gt;0,0,IF(M137="A",L137,IF(M137="M",L137*12,IF(M137="W",L137*Lookups!B$9,IF(M137="B",L137*+Lookups!B$10,IF(M137="S",L137*2,IF(AND(L137=0,N137&gt;0),N137,"ERROR"))))))))</f>
        <v>0</v>
      </c>
      <c r="P137" s="170">
        <f t="shared" si="5"/>
        <v>-3000</v>
      </c>
      <c r="Q137" s="171" t="str">
        <f>IF(AND(N137&gt;0,G137=0,L137=0),"X",IF(AND(N137&gt;0,G137&gt;0),"E",IF(P137="","",IF(P137=0,"S",IF(AND(P137&gt;0,NOT(G137=0)),"I",IF(AND(P137&gt;0,G137=0),"N",IF(P137&lt;0,"D","ERROR")))))))</f>
        <v>D</v>
      </c>
      <c r="R137" s="156"/>
      <c r="S137" s="74" t="s">
        <v>411</v>
      </c>
      <c r="T137" s="70" t="s">
        <v>412</v>
      </c>
      <c r="U137" s="70" t="s">
        <v>413</v>
      </c>
      <c r="V137" s="71" t="s">
        <v>414</v>
      </c>
      <c r="W137" s="72">
        <v>53406</v>
      </c>
    </row>
    <row r="138" spans="1:23" x14ac:dyDescent="0.35">
      <c r="A138" s="28" t="s">
        <v>318</v>
      </c>
      <c r="B138" s="4" t="s">
        <v>319</v>
      </c>
      <c r="C138" s="24">
        <v>200</v>
      </c>
      <c r="D138" s="22"/>
      <c r="E138" s="13">
        <v>150</v>
      </c>
      <c r="F138" s="27">
        <f>IF(D138=0,E138,IF(AND(E138=0,I138="A"),D138,IF(E138&gt;D138,E138, IF(E138/D138&gt;0.73,D138,E138))))</f>
        <v>150</v>
      </c>
      <c r="G138" s="22"/>
      <c r="H138" s="26"/>
      <c r="I138" s="13"/>
      <c r="J138" s="13"/>
      <c r="K138" s="27">
        <f>IF(H138="",0,IF(J138&gt;0,0,IF(H138="A",G138,IF(H138="M",G138*12,IF(H138="W",G138*(Lookups!$B$9+1),IF(H138="B",G138*(+Lookups!$B$10),IF(H138="S",G138*2,IF(AND(G138=0,J138&gt;0),J138,"ERROR"))))))))</f>
        <v>0</v>
      </c>
      <c r="L138" s="22"/>
      <c r="M138" s="26"/>
      <c r="N138" s="13"/>
      <c r="O138" s="27">
        <f>IF(L138="",0,IF(N138&gt;0,0,IF(M138="A",L138,IF(M138="M",L138*12,IF(M138="W",L138*Lookups!B$9,IF(M138="B",L138*+Lookups!B$10,IF(M138="S",L138*2,IF(AND(L138=0,N138&gt;0),N138,"ERROR"))))))))</f>
        <v>0</v>
      </c>
      <c r="P138" s="170" t="str">
        <f t="shared" si="5"/>
        <v/>
      </c>
      <c r="Q138" s="171" t="str">
        <f>IF(AND(N138&gt;0,G138=0,L138=0),"X",IF(AND(N138&gt;0,G138&gt;0),"E",IF(P138="","",IF(P138=0,"S",IF(AND(P138&gt;0,NOT(G138=0)),"I",IF(AND(P138&gt;0,G138=0),"N",IF(P138&lt;0,"D","ERROR")))))))</f>
        <v/>
      </c>
      <c r="R138" s="156"/>
    </row>
    <row r="139" spans="1:23" x14ac:dyDescent="0.35">
      <c r="A139" s="28" t="s">
        <v>320</v>
      </c>
      <c r="B139" s="4" t="s">
        <v>321</v>
      </c>
      <c r="C139" s="24">
        <v>4000</v>
      </c>
      <c r="D139" s="22"/>
      <c r="E139" s="13">
        <v>150</v>
      </c>
      <c r="F139" s="27">
        <f>IF(D139=0,E139,IF(AND(E139=0,I139="A"),D139,IF(E139&gt;D139,E139, IF(E139/D139&gt;0.73,D139,E139))))</f>
        <v>150</v>
      </c>
      <c r="G139" s="22"/>
      <c r="H139" s="26"/>
      <c r="I139" s="13"/>
      <c r="J139" s="13"/>
      <c r="K139" s="27">
        <f>IF(H139="",0,IF(J139&gt;0,0,IF(H139="A",G139,IF(H139="M",G139*12,IF(H139="W",G139*(Lookups!$B$9+1),IF(H139="B",G139*(+Lookups!$B$10),IF(H139="S",G139*2,IF(AND(G139=0,J139&gt;0),J139,"ERROR"))))))))</f>
        <v>0</v>
      </c>
      <c r="L139" s="22">
        <v>50</v>
      </c>
      <c r="M139" s="26" t="s">
        <v>45</v>
      </c>
      <c r="N139" s="13"/>
      <c r="O139" s="27">
        <f>IF(L139="",0,IF(N139&gt;0,0,IF(M139="A",L139,IF(M139="M",L139*12,IF(M139="W",L139*Lookups!B$9,IF(M139="B",L139*+Lookups!B$10,IF(M139="S",L139*2,IF(AND(L139=0,N139&gt;0),N139,"ERROR"))))))))</f>
        <v>2600</v>
      </c>
      <c r="P139" s="170">
        <f t="shared" si="5"/>
        <v>2600</v>
      </c>
      <c r="Q139" s="171" t="str">
        <f>IF(AND(N139&gt;0,G139=0,L139=0),"X",IF(AND(N139&gt;0,G139&gt;0),"E",IF(P139="","",IF(P139=0,"S",IF(AND(P139&gt;0,NOT(G139=0)),"I",IF(AND(P139&gt;0,G139=0),"N",IF(P139&lt;0,"D","ERROR")))))))</f>
        <v>N</v>
      </c>
      <c r="R139" s="156"/>
      <c r="S139" s="69" t="s">
        <v>603</v>
      </c>
      <c r="T139" s="70" t="s">
        <v>609</v>
      </c>
      <c r="U139" s="70" t="s">
        <v>437</v>
      </c>
      <c r="V139" s="71" t="s">
        <v>414</v>
      </c>
      <c r="W139" s="72">
        <v>53403</v>
      </c>
    </row>
    <row r="140" spans="1:23" x14ac:dyDescent="0.35">
      <c r="A140" s="28" t="s">
        <v>173</v>
      </c>
      <c r="B140" s="4" t="s">
        <v>174</v>
      </c>
      <c r="C140" s="24">
        <v>6725</v>
      </c>
      <c r="D140" s="22">
        <v>7200</v>
      </c>
      <c r="E140" s="13">
        <v>5850</v>
      </c>
      <c r="F140" s="27">
        <f>IF(D140=0,E140,IF(AND(E140=0,I140="A"),D140,IF(E140&gt;D140,E140, IF(E140/D140&gt;0.73,D140,E140))))</f>
        <v>7200</v>
      </c>
      <c r="G140" s="22">
        <v>125</v>
      </c>
      <c r="H140" s="26" t="s">
        <v>45</v>
      </c>
      <c r="I140" s="13"/>
      <c r="J140" s="13"/>
      <c r="K140" s="27">
        <f>IF(H140="",0,IF(J140&gt;0,0,IF(H140="A",G140,IF(H140="M",G140*12,IF(H140="W",G140*(Lookups!$B$9+1),IF(H140="B",G140*(+Lookups!$B$10),IF(H140="S",G140*2,IF(AND(G140=0,J140&gt;0),J140,"ERROR"))))))))</f>
        <v>6625</v>
      </c>
      <c r="L140" s="22">
        <v>60</v>
      </c>
      <c r="M140" s="26" t="s">
        <v>45</v>
      </c>
      <c r="N140" s="13"/>
      <c r="O140" s="27">
        <f>IF(L140="",0,IF(N140&gt;0,0,IF(M140="A",L140,IF(M140="M",L140*12,IF(M140="W",L140*Lookups!B$9,IF(M140="B",L140*+Lookups!B$10,IF(M140="S",L140*2,IF(AND(L140=0,N140&gt;0),N140,"ERROR"))))))))</f>
        <v>3120</v>
      </c>
      <c r="P140" s="170">
        <f t="shared" si="5"/>
        <v>-3505</v>
      </c>
      <c r="Q140" s="171" t="str">
        <f>IF(AND(N140&gt;0,G140=0,L140=0),"X",IF(AND(N140&gt;0,G140&gt;0),"E",IF(P140="","",IF(P140=0,"S",IF(AND(P140&gt;0,NOT(G140=0)),"I",IF(AND(P140&gt;0,G140=0),"N",IF(P140&lt;0,"D","ERROR")))))))</f>
        <v>D</v>
      </c>
      <c r="R140" s="156"/>
      <c r="S140" s="69" t="s">
        <v>492</v>
      </c>
      <c r="T140" s="70" t="s">
        <v>493</v>
      </c>
      <c r="U140" s="70" t="s">
        <v>413</v>
      </c>
      <c r="V140" s="71" t="s">
        <v>414</v>
      </c>
      <c r="W140" s="72">
        <v>53406</v>
      </c>
    </row>
    <row r="141" spans="1:23" x14ac:dyDescent="0.35">
      <c r="A141" s="28" t="s">
        <v>173</v>
      </c>
      <c r="B141" s="4" t="s">
        <v>175</v>
      </c>
      <c r="C141" s="24">
        <v>2323</v>
      </c>
      <c r="D141" s="22">
        <v>2340</v>
      </c>
      <c r="E141" s="13">
        <v>1750</v>
      </c>
      <c r="F141" s="27">
        <f>IF(D141=0,E141,IF(AND(E141=0,I141="A"),D141,IF(E141&gt;D141,E141, IF(E141/D141&gt;0.73,D141,E141))))</f>
        <v>2340</v>
      </c>
      <c r="G141" s="22">
        <v>50</v>
      </c>
      <c r="H141" s="26" t="s">
        <v>45</v>
      </c>
      <c r="I141" s="13"/>
      <c r="J141" s="13"/>
      <c r="K141" s="27">
        <f>IF(H141="",0,IF(J141&gt;0,0,IF(H141="A",G141,IF(H141="M",G141*12,IF(H141="W",G141*(Lookups!$B$9+1),IF(H141="B",G141*(+Lookups!$B$10),IF(H141="S",G141*2,IF(AND(G141=0,J141&gt;0),J141,"ERROR"))))))))</f>
        <v>2650</v>
      </c>
      <c r="L141" s="22"/>
      <c r="M141" s="26"/>
      <c r="N141" s="13"/>
      <c r="O141" s="27">
        <f>IF(L141="",0,IF(N141&gt;0,0,IF(M141="A",L141,IF(M141="M",L141*12,IF(M141="W",L141*Lookups!B$9,IF(M141="B",L141*+Lookups!B$10,IF(M141="S",L141*2,IF(AND(L141=0,N141&gt;0),N141,"ERROR"))))))))</f>
        <v>0</v>
      </c>
      <c r="P141" s="170">
        <f t="shared" si="5"/>
        <v>-2650</v>
      </c>
      <c r="Q141" s="171" t="str">
        <f>IF(AND(N141&gt;0,G141=0,L141=0),"X",IF(AND(N141&gt;0,G141&gt;0),"E",IF(P141="","",IF(P141=0,"S",IF(AND(P141&gt;0,NOT(G141=0)),"I",IF(AND(P141&gt;0,G141=0),"N",IF(P141&lt;0,"D","ERROR")))))))</f>
        <v>D</v>
      </c>
      <c r="R141" s="156"/>
      <c r="S141" s="69" t="s">
        <v>494</v>
      </c>
      <c r="T141" s="70" t="s">
        <v>495</v>
      </c>
      <c r="U141" s="70" t="s">
        <v>413</v>
      </c>
      <c r="V141" s="71" t="s">
        <v>414</v>
      </c>
      <c r="W141" s="72">
        <v>53406</v>
      </c>
    </row>
    <row r="142" spans="1:23" x14ac:dyDescent="0.35">
      <c r="A142" s="28" t="s">
        <v>322</v>
      </c>
      <c r="B142" s="4" t="s">
        <v>393</v>
      </c>
      <c r="C142" s="24"/>
      <c r="D142" s="22"/>
      <c r="E142" s="13">
        <v>1000</v>
      </c>
      <c r="F142" s="27">
        <f>IF(D142=0,E142,IF(AND(E142=0,I142="A"),D142,IF(E142&gt;D142,E142, IF(E142/D142&gt;0.73,D142,E142))))</f>
        <v>1000</v>
      </c>
      <c r="G142" s="22">
        <v>5000</v>
      </c>
      <c r="H142" s="26" t="s">
        <v>42</v>
      </c>
      <c r="I142" s="13"/>
      <c r="J142" s="13"/>
      <c r="K142" s="27">
        <f>IF(H142="",0,IF(J142&gt;0,0,IF(H142="A",G142,IF(H142="M",G142*12,IF(H142="W",G142*(Lookups!$B$9+1),IF(H142="B",G142*(+Lookups!$B$10),IF(H142="S",G142*2,IF(AND(G142=0,J142&gt;0),J142,"ERROR"))))))))</f>
        <v>5000</v>
      </c>
      <c r="L142" s="22"/>
      <c r="M142" s="26"/>
      <c r="N142" s="13"/>
      <c r="O142" s="27">
        <f>IF(L142="",0,IF(N142&gt;0,0,IF(M142="A",L142,IF(M142="M",L142*12,IF(M142="W",L142*Lookups!B$9,IF(M142="B",L142*+Lookups!B$10,IF(M142="S",L142*2,IF(AND(L142=0,N142&gt;0),N142,"ERROR"))))))))</f>
        <v>0</v>
      </c>
      <c r="P142" s="170">
        <f t="shared" si="5"/>
        <v>-5000</v>
      </c>
      <c r="Q142" s="171" t="str">
        <f>IF(AND(N142&gt;0,G142=0,L142=0),"X",IF(AND(N142&gt;0,G142&gt;0),"E",IF(P142="","",IF(P142=0,"S",IF(AND(P142&gt;0,NOT(G142=0)),"I",IF(AND(P142&gt;0,G142=0),"N",IF(P142&lt;0,"D","ERROR")))))))</f>
        <v>D</v>
      </c>
      <c r="R142" s="156"/>
    </row>
    <row r="143" spans="1:23" x14ac:dyDescent="0.35">
      <c r="A143" s="28" t="s">
        <v>322</v>
      </c>
      <c r="B143" s="4" t="s">
        <v>188</v>
      </c>
      <c r="C143" s="24">
        <v>275</v>
      </c>
      <c r="D143" s="22"/>
      <c r="E143" s="13"/>
      <c r="F143" s="27">
        <f>IF(D143=0,E143,IF(AND(E143=0,I143="A"),D143,IF(E143&gt;D143,E143, IF(E143/D143&gt;0.73,D143,E143))))</f>
        <v>0</v>
      </c>
      <c r="G143" s="22"/>
      <c r="H143" s="26"/>
      <c r="I143" s="13"/>
      <c r="J143" s="13"/>
      <c r="K143" s="27">
        <f>IF(H143="",0,IF(J143&gt;0,0,IF(H143="A",G143,IF(H143="M",G143*12,IF(H143="W",G143*(Lookups!$B$9+1),IF(H143="B",G143*(+Lookups!$B$10),IF(H143="S",G143*2,IF(AND(G143=0,J143&gt;0),J143,"ERROR"))))))))</f>
        <v>0</v>
      </c>
      <c r="L143" s="22"/>
      <c r="M143" s="26"/>
      <c r="N143" s="13"/>
      <c r="O143" s="27">
        <f>IF(L143="",0,IF(N143&gt;0,0,IF(M143="A",L143,IF(M143="M",L143*12,IF(M143="W",L143*Lookups!B$9,IF(M143="B",L143*+Lookups!B$10,IF(M143="S",L143*2,IF(AND(L143=0,N143&gt;0),N143,"ERROR"))))))))</f>
        <v>0</v>
      </c>
      <c r="P143" s="170" t="str">
        <f t="shared" si="5"/>
        <v/>
      </c>
      <c r="Q143" s="171" t="str">
        <f>IF(AND(N143&gt;0,G143=0,L143=0),"X",IF(AND(N143&gt;0,G143&gt;0),"E",IF(P143="","",IF(P143=0,"S",IF(AND(P143&gt;0,NOT(G143=0)),"I",IF(AND(P143&gt;0,G143=0),"N",IF(P143&lt;0,"D","ERROR")))))))</f>
        <v/>
      </c>
      <c r="R143" s="156"/>
    </row>
    <row r="144" spans="1:23" x14ac:dyDescent="0.35">
      <c r="A144" s="28" t="s">
        <v>176</v>
      </c>
      <c r="B144" s="4" t="s">
        <v>177</v>
      </c>
      <c r="C144" s="24">
        <v>960</v>
      </c>
      <c r="D144" s="22">
        <v>1200</v>
      </c>
      <c r="E144" s="13">
        <v>900</v>
      </c>
      <c r="F144" s="27">
        <f>IF(D144=0,E144,IF(AND(E144=0,I144="A"),D144,IF(E144&gt;D144,E144, IF(E144/D144&gt;0.73,D144,E144))))</f>
        <v>1200</v>
      </c>
      <c r="G144" s="22"/>
      <c r="H144" s="26" t="s">
        <v>46</v>
      </c>
      <c r="I144" s="13"/>
      <c r="J144" s="13">
        <v>1200</v>
      </c>
      <c r="K144" s="27">
        <f>IF(H144="",0,IF(J144&gt;0,0,IF(H144="A",G144,IF(H144="M",G144*12,IF(H144="W",G144*(Lookups!$B$9+1),IF(H144="B",G144*(+Lookups!$B$10),IF(H144="S",G144*2,IF(AND(G144=0,J144&gt;0),J144,"ERROR"))))))))</f>
        <v>0</v>
      </c>
      <c r="L144" s="22"/>
      <c r="M144" s="26"/>
      <c r="N144" s="13"/>
      <c r="O144" s="27">
        <f>IF(L144="",0,IF(N144&gt;0,0,IF(M144="A",L144,IF(M144="M",L144*12,IF(M144="W",L144*Lookups!B$9,IF(M144="B",L144*+Lookups!B$10,IF(M144="S",L144*2,IF(AND(L144=0,N144&gt;0),N144,"ERROR"))))))))</f>
        <v>0</v>
      </c>
      <c r="P144" s="170" t="str">
        <f t="shared" si="5"/>
        <v/>
      </c>
      <c r="Q144" s="171" t="str">
        <f>IF(AND(N144&gt;0,G144=0,L144=0),"X",IF(AND(N144&gt;0,G144&gt;0),"E",IF(P144="","",IF(P144=0,"S",IF(AND(P144&gt;0,NOT(G144=0)),"I",IF(AND(P144&gt;0,G144=0),"N",IF(P144&lt;0,"D","ERROR")))))))</f>
        <v/>
      </c>
      <c r="R144" s="156"/>
    </row>
    <row r="145" spans="1:23" x14ac:dyDescent="0.35">
      <c r="A145" s="28" t="s">
        <v>178</v>
      </c>
      <c r="B145" s="4" t="s">
        <v>179</v>
      </c>
      <c r="C145" s="24">
        <v>3000</v>
      </c>
      <c r="D145" s="22">
        <v>3600</v>
      </c>
      <c r="E145" s="13">
        <v>2700</v>
      </c>
      <c r="F145" s="27">
        <f>IF(D145=0,E145,IF(AND(E145=0,I145="A"),D145,IF(E145&gt;D145,E145, IF(E145/D145&gt;0.73,D145,E145))))</f>
        <v>3600</v>
      </c>
      <c r="G145" s="22">
        <v>330</v>
      </c>
      <c r="H145" s="26" t="s">
        <v>46</v>
      </c>
      <c r="I145" s="13"/>
      <c r="J145" s="13"/>
      <c r="K145" s="27">
        <f>IF(H145="",0,IF(J145&gt;0,0,IF(H145="A",G145,IF(H145="M",G145*12,IF(H145="W",G145*(Lookups!$B$9+1),IF(H145="B",G145*(+Lookups!$B$10),IF(H145="S",G145*2,IF(AND(G145=0,J145&gt;0),J145,"ERROR"))))))))</f>
        <v>3960</v>
      </c>
      <c r="L145" s="22">
        <v>400</v>
      </c>
      <c r="M145" s="26" t="s">
        <v>46</v>
      </c>
      <c r="N145" s="13"/>
      <c r="O145" s="27">
        <f>IF(L145="",0,IF(N145&gt;0,0,IF(M145="A",L145,IF(M145="M",L145*12,IF(M145="W",L145*Lookups!B$9,IF(M145="B",L145*+Lookups!B$10,IF(M145="S",L145*2,IF(AND(L145=0,N145&gt;0),N145,"ERROR"))))))))</f>
        <v>4800</v>
      </c>
      <c r="P145" s="170">
        <f t="shared" si="5"/>
        <v>840</v>
      </c>
      <c r="Q145" s="171" t="str">
        <f>IF(AND(N145&gt;0,G145=0,L145=0),"X",IF(AND(N145&gt;0,G145&gt;0),"E",IF(P145="","",IF(P145=0,"S",IF(AND(P145&gt;0,NOT(G145=0)),"I",IF(AND(P145&gt;0,G145=0),"N",IF(P145&lt;0,"D","ERROR")))))))</f>
        <v>I</v>
      </c>
      <c r="R145" s="156"/>
      <c r="S145" s="69" t="s">
        <v>496</v>
      </c>
      <c r="T145" s="70" t="s">
        <v>497</v>
      </c>
      <c r="U145" s="70" t="s">
        <v>437</v>
      </c>
      <c r="V145" s="71" t="s">
        <v>414</v>
      </c>
      <c r="W145" s="72">
        <v>53402</v>
      </c>
    </row>
    <row r="146" spans="1:23" x14ac:dyDescent="0.35">
      <c r="A146" s="143" t="s">
        <v>323</v>
      </c>
      <c r="B146" s="144" t="s">
        <v>248</v>
      </c>
      <c r="C146" s="165">
        <v>1275</v>
      </c>
      <c r="D146" s="146"/>
      <c r="E146" s="145"/>
      <c r="F146" s="147">
        <f>IF(D146=0,E146,IF(AND(E146=0,I146="A"),D146,IF(E146&gt;D146,E146, IF(E146/D146&gt;0.73,D146,E146))))</f>
        <v>0</v>
      </c>
      <c r="G146" s="146"/>
      <c r="H146" s="148"/>
      <c r="I146" s="145"/>
      <c r="J146" s="145"/>
      <c r="K146" s="147">
        <f>IF(H146="",0,IF(J146&gt;0,0,IF(H146="A",G146,IF(H146="M",G146*12,IF(H146="W",G146*(Lookups!$B$9+1),IF(H146="B",G146*(+Lookups!$B$10),IF(H146="S",G146*2,IF(AND(G146=0,J146&gt;0),J146,"ERROR"))))))))</f>
        <v>0</v>
      </c>
      <c r="L146" s="146"/>
      <c r="M146" s="148"/>
      <c r="N146" s="145"/>
      <c r="O146" s="147">
        <f>IF(L146="",0,IF(N146&gt;0,0,IF(M146="A",L146,IF(M146="M",L146*12,IF(M146="W",L146*Lookups!B$9,IF(M146="B",L146*+Lookups!B$10,IF(M146="S",L146*2,IF(AND(L146=0,N146&gt;0),N146,"ERROR"))))))))</f>
        <v>0</v>
      </c>
      <c r="P146" s="170" t="str">
        <f t="shared" si="5"/>
        <v/>
      </c>
      <c r="Q146" s="171" t="str">
        <f>IF(AND(N146&gt;0,G146=0,L146=0),"X",IF(AND(N146&gt;0,G146&gt;0),"E",IF(P146="","",IF(P146=0,"S",IF(AND(P146&gt;0,NOT(G146=0)),"I",IF(AND(P146&gt;0,G146=0),"N",IF(P146&lt;0,"D","ERROR")))))))</f>
        <v/>
      </c>
      <c r="R146" s="157"/>
      <c r="S146" s="149" t="s">
        <v>523</v>
      </c>
      <c r="T146" s="149"/>
      <c r="U146" s="149"/>
      <c r="V146" s="150"/>
      <c r="W146" s="151"/>
    </row>
    <row r="147" spans="1:23" x14ac:dyDescent="0.35">
      <c r="A147" s="28" t="s">
        <v>180</v>
      </c>
      <c r="B147" s="4" t="s">
        <v>139</v>
      </c>
      <c r="C147" s="24">
        <v>815</v>
      </c>
      <c r="D147" s="22">
        <v>960</v>
      </c>
      <c r="E147" s="13">
        <v>560</v>
      </c>
      <c r="F147" s="27">
        <f>IF(D147=0,E147,IF(AND(E147=0,I147="A"),D147,IF(E147&gt;D147,E147, IF(E147/D147&gt;0.73,D147,E147))))</f>
        <v>560</v>
      </c>
      <c r="G147" s="22"/>
      <c r="H147" s="26" t="s">
        <v>46</v>
      </c>
      <c r="I147" s="13"/>
      <c r="J147" s="13">
        <v>800</v>
      </c>
      <c r="K147" s="27">
        <f>IF(H147="",0,IF(J147&gt;0,0,IF(H147="A",G147,IF(H147="M",G147*12,IF(H147="W",G147*(Lookups!$B$9+1),IF(H147="B",G147*(+Lookups!$B$10),IF(H147="S",G147*2,IF(AND(G147=0,J147&gt;0),J147,"ERROR"))))))))</f>
        <v>0</v>
      </c>
      <c r="L147" s="22">
        <v>50</v>
      </c>
      <c r="M147" s="26" t="s">
        <v>45</v>
      </c>
      <c r="N147" s="13"/>
      <c r="O147" s="27">
        <f>IF(L147="",0,IF(N147&gt;0,0,IF(M147="A",L147,IF(M147="M",L147*12,IF(M147="W",L147*Lookups!B$9,IF(M147="B",L147*+Lookups!B$10,IF(M147="S",L147*2,IF(AND(L147=0,N147&gt;0),N147,"ERROR"))))))))</f>
        <v>2600</v>
      </c>
      <c r="P147" s="170">
        <f t="shared" si="5"/>
        <v>2600</v>
      </c>
      <c r="Q147" s="171" t="str">
        <f>IF(AND(N147&gt;0,G147=0,L147=0),"X",IF(AND(N147&gt;0,G147&gt;0),"E",IF(P147="","",IF(P147=0,"S",IF(AND(P147&gt;0,NOT(G147=0)),"I",IF(AND(P147&gt;0,G147=0),"N",IF(P147&lt;0,"D","ERROR")))))))</f>
        <v>N</v>
      </c>
      <c r="R147" s="156"/>
      <c r="S147" s="69" t="s">
        <v>604</v>
      </c>
      <c r="T147" s="70" t="s">
        <v>605</v>
      </c>
      <c r="U147" s="70" t="s">
        <v>549</v>
      </c>
      <c r="V147" s="71" t="s">
        <v>414</v>
      </c>
      <c r="W147" s="72">
        <v>53144</v>
      </c>
    </row>
    <row r="148" spans="1:23" x14ac:dyDescent="0.35">
      <c r="A148" s="28" t="s">
        <v>324</v>
      </c>
      <c r="B148" s="4" t="s">
        <v>325</v>
      </c>
      <c r="C148" s="24">
        <v>600</v>
      </c>
      <c r="D148" s="22"/>
      <c r="E148" s="13">
        <v>400</v>
      </c>
      <c r="F148" s="27">
        <f>IF(D148=0,E148,IF(AND(E148=0,I148="A"),D148,IF(E148&gt;D148,E148, IF(E148/D148&gt;0.73,D148,E148))))</f>
        <v>400</v>
      </c>
      <c r="G148" s="22"/>
      <c r="H148" s="26"/>
      <c r="I148" s="13"/>
      <c r="J148" s="13">
        <v>500</v>
      </c>
      <c r="K148" s="27">
        <f>IF(H148="",0,IF(J148&gt;0,0,IF(H148="A",G148,IF(H148="M",G148*12,IF(H148="W",G148*(Lookups!$B$9+1),IF(H148="B",G148*(+Lookups!$B$10),IF(H148="S",G148*2,IF(AND(G148=0,J148&gt;0),J148,"ERROR"))))))))</f>
        <v>0</v>
      </c>
      <c r="L148" s="22">
        <v>1000</v>
      </c>
      <c r="M148" s="26" t="s">
        <v>42</v>
      </c>
      <c r="N148" s="13"/>
      <c r="O148" s="27">
        <f>IF(L148="",0,IF(N148&gt;0,0,IF(M148="A",L148,IF(M148="M",L148*12,IF(M148="W",L148*Lookups!B$9,IF(M148="B",L148*+Lookups!B$10,IF(M148="S",L148*2,IF(AND(L148=0,N148&gt;0),N148,"ERROR"))))))))</f>
        <v>1000</v>
      </c>
      <c r="P148" s="170">
        <f t="shared" si="5"/>
        <v>1000</v>
      </c>
      <c r="Q148" s="171" t="str">
        <f>IF(AND(N148&gt;0,G148=0,L148=0),"X",IF(AND(N148&gt;0,G148&gt;0),"E",IF(P148="","",IF(P148=0,"S",IF(AND(P148&gt;0,NOT(G148=0)),"I",IF(AND(P148&gt;0,G148=0),"N",IF(P148&lt;0,"D","ERROR")))))))</f>
        <v>N</v>
      </c>
      <c r="R148" s="156" t="s">
        <v>606</v>
      </c>
      <c r="S148" s="69" t="s">
        <v>607</v>
      </c>
      <c r="T148" s="70" t="s">
        <v>608</v>
      </c>
      <c r="U148" s="70" t="s">
        <v>582</v>
      </c>
      <c r="V148" s="71" t="s">
        <v>414</v>
      </c>
      <c r="W148" s="72">
        <v>53406</v>
      </c>
    </row>
    <row r="149" spans="1:23" x14ac:dyDescent="0.35">
      <c r="A149" s="143" t="s">
        <v>181</v>
      </c>
      <c r="B149" s="144" t="s">
        <v>326</v>
      </c>
      <c r="C149" s="165">
        <v>12000</v>
      </c>
      <c r="D149" s="146"/>
      <c r="E149" s="145">
        <v>1000</v>
      </c>
      <c r="F149" s="147">
        <f>IF(D149=0,E149,IF(AND(E149=0,I149="A"),D149,IF(E149&gt;D149,E149, IF(E149/D149&gt;0.73,D149,E149))))</f>
        <v>1000</v>
      </c>
      <c r="G149" s="146"/>
      <c r="H149" s="148"/>
      <c r="I149" s="145"/>
      <c r="J149" s="145"/>
      <c r="K149" s="147">
        <f>IF(H149="",0,IF(J149&gt;0,0,IF(H149="A",G149,IF(H149="M",G149*12,IF(H149="W",G149*(Lookups!$B$9+1),IF(H149="B",G149*(+Lookups!$B$10),IF(H149="S",G149*2,IF(AND(G149=0,J149&gt;0),J149,"ERROR"))))))))</f>
        <v>0</v>
      </c>
      <c r="L149" s="146"/>
      <c r="M149" s="148"/>
      <c r="N149" s="145"/>
      <c r="O149" s="147">
        <f>IF(L149="",0,IF(N149&gt;0,0,IF(M149="A",L149,IF(M149="M",L149*12,IF(M149="W",L149*Lookups!B$9,IF(M149="B",L149*+Lookups!B$10,IF(M149="S",L149*2,IF(AND(L149=0,N149&gt;0),N149,"ERROR"))))))))</f>
        <v>0</v>
      </c>
      <c r="P149" s="170" t="str">
        <f t="shared" si="5"/>
        <v/>
      </c>
      <c r="Q149" s="171" t="str">
        <f>IF(AND(N149&gt;0,G149=0,L149=0),"X",IF(AND(N149&gt;0,G149&gt;0),"E",IF(P149="","",IF(P149=0,"S",IF(AND(P149&gt;0,NOT(G149=0)),"I",IF(AND(P149&gt;0,G149=0),"N",IF(P149&lt;0,"D","ERROR")))))))</f>
        <v/>
      </c>
      <c r="R149" s="157"/>
      <c r="S149" s="149" t="s">
        <v>524</v>
      </c>
      <c r="T149" s="149"/>
      <c r="U149" s="149"/>
      <c r="V149" s="150"/>
      <c r="W149" s="151"/>
    </row>
    <row r="150" spans="1:23" x14ac:dyDescent="0.35">
      <c r="A150" s="28" t="s">
        <v>181</v>
      </c>
      <c r="B150" s="88" t="s">
        <v>182</v>
      </c>
      <c r="C150" s="24">
        <v>1090</v>
      </c>
      <c r="D150" s="22">
        <v>1040</v>
      </c>
      <c r="E150" s="13">
        <v>760</v>
      </c>
      <c r="F150" s="27">
        <f>IF(D150=0,E150,IF(AND(E150=0,I150="A"),D150,IF(E150&gt;D150,E150, IF(E150/D150&gt;0.73,D150,E150))))</f>
        <v>1040</v>
      </c>
      <c r="G150" s="22">
        <v>20</v>
      </c>
      <c r="H150" s="26" t="s">
        <v>45</v>
      </c>
      <c r="I150" s="13"/>
      <c r="J150" s="13"/>
      <c r="K150" s="27">
        <f>IF(H150="",0,IF(J150&gt;0,0,IF(H150="A",G150,IF(H150="M",G150*12,IF(H150="W",G150*(Lookups!$B$9+1),IF(H150="B",G150*(+Lookups!$B$10),IF(H150="S",G150*2,IF(AND(G150=0,J150&gt;0),J150,"ERROR"))))))))</f>
        <v>1060</v>
      </c>
      <c r="L150" s="22">
        <v>15</v>
      </c>
      <c r="M150" s="26" t="s">
        <v>45</v>
      </c>
      <c r="N150" s="13"/>
      <c r="O150" s="27">
        <f>IF(L150="",0,IF(N150&gt;0,0,IF(M150="A",L150,IF(M150="M",L150*12,IF(M150="W",L150*Lookups!B$9,IF(M150="B",L150*+Lookups!B$10,IF(M150="S",L150*2,IF(AND(L150=0,N150&gt;0),N150,"ERROR"))))))))</f>
        <v>780</v>
      </c>
      <c r="P150" s="170">
        <f t="shared" si="5"/>
        <v>-280</v>
      </c>
      <c r="Q150" s="171" t="str">
        <f>IF(AND(N150&gt;0,G150=0,L150=0),"X",IF(AND(N150&gt;0,G150&gt;0),"E",IF(P150="","",IF(P150=0,"S",IF(AND(P150&gt;0,NOT(G150=0)),"I",IF(AND(P150&gt;0,G150=0),"N",IF(P150&lt;0,"D","ERROR")))))))</f>
        <v>D</v>
      </c>
      <c r="R150" s="156"/>
      <c r="S150" s="69" t="s">
        <v>613</v>
      </c>
      <c r="T150" s="70" t="s">
        <v>614</v>
      </c>
      <c r="U150" s="70" t="s">
        <v>437</v>
      </c>
      <c r="V150" s="71" t="s">
        <v>615</v>
      </c>
      <c r="W150" s="72">
        <v>53406</v>
      </c>
    </row>
    <row r="151" spans="1:23" x14ac:dyDescent="0.35">
      <c r="A151" s="28" t="s">
        <v>181</v>
      </c>
      <c r="B151" s="4" t="s">
        <v>327</v>
      </c>
      <c r="C151" s="24">
        <v>1000</v>
      </c>
      <c r="D151" s="22"/>
      <c r="E151" s="13"/>
      <c r="F151" s="27">
        <f>IF(D151=0,E151,IF(AND(E151=0,I151="A"),D151,IF(E151&gt;D151,E151, IF(E151/D151&gt;0.73,D151,E151))))</f>
        <v>0</v>
      </c>
      <c r="G151" s="22">
        <v>1200</v>
      </c>
      <c r="H151" s="26" t="s">
        <v>42</v>
      </c>
      <c r="I151" s="13"/>
      <c r="J151" s="13"/>
      <c r="K151" s="27">
        <f>IF(H151="",0,IF(J151&gt;0,0,IF(H151="A",G151,IF(H151="M",G151*12,IF(H151="W",G151*(Lookups!$B$9+1),IF(H151="B",G151*(+Lookups!$B$10),IF(H151="S",G151*2,IF(AND(G151=0,J151&gt;0),J151,"ERROR"))))))))</f>
        <v>1200</v>
      </c>
      <c r="L151" s="22">
        <v>1200</v>
      </c>
      <c r="M151" s="26" t="s">
        <v>42</v>
      </c>
      <c r="N151" s="13"/>
      <c r="O151" s="27">
        <f>IF(L151="",0,IF(N151&gt;0,0,IF(M151="A",L151,IF(M151="M",L151*12,IF(M151="W",L151*Lookups!B$9,IF(M151="B",L151*+Lookups!B$10,IF(M151="S",L151*2,IF(AND(L151=0,N151&gt;0),N151,"ERROR"))))))))</f>
        <v>1200</v>
      </c>
      <c r="P151" s="170">
        <f t="shared" si="5"/>
        <v>0</v>
      </c>
      <c r="Q151" s="171" t="str">
        <f>IF(AND(N151&gt;0,G151=0,L151=0),"X",IF(AND(N151&gt;0,G151&gt;0),"E",IF(P151="","",IF(P151=0,"S",IF(AND(P151&gt;0,NOT(G151=0)),"I",IF(AND(P151&gt;0,G151=0),"N",IF(P151&lt;0,"D","ERROR")))))))</f>
        <v>S</v>
      </c>
      <c r="R151" s="156"/>
      <c r="S151" s="69" t="s">
        <v>610</v>
      </c>
      <c r="T151" s="70" t="s">
        <v>611</v>
      </c>
      <c r="U151" s="70" t="s">
        <v>612</v>
      </c>
      <c r="V151" s="71" t="s">
        <v>414</v>
      </c>
      <c r="W151" s="72">
        <v>53185</v>
      </c>
    </row>
    <row r="152" spans="1:23" x14ac:dyDescent="0.35">
      <c r="A152" s="28" t="s">
        <v>181</v>
      </c>
      <c r="B152" s="4" t="s">
        <v>328</v>
      </c>
      <c r="C152" s="24">
        <v>25</v>
      </c>
      <c r="D152" s="22"/>
      <c r="E152" s="13"/>
      <c r="F152" s="27">
        <f>IF(D152=0,E152,IF(AND(E152=0,I152="A"),D152,IF(E152&gt;D152,E152, IF(E152/D152&gt;0.73,D152,E152))))</f>
        <v>0</v>
      </c>
      <c r="G152" s="22"/>
      <c r="H152" s="26"/>
      <c r="I152" s="13"/>
      <c r="J152" s="13"/>
      <c r="K152" s="27">
        <f>IF(H152="",0,IF(J152&gt;0,0,IF(H152="A",G152,IF(H152="M",G152*12,IF(H152="W",G152*(Lookups!$B$9+1),IF(H152="B",G152*(+Lookups!$B$10),IF(H152="S",G152*2,IF(AND(G152=0,J152&gt;0),J152,"ERROR"))))))))</f>
        <v>0</v>
      </c>
      <c r="L152" s="22"/>
      <c r="M152" s="26"/>
      <c r="N152" s="13"/>
      <c r="O152" s="27">
        <f>IF(L152="",0,IF(N152&gt;0,0,IF(M152="A",L152,IF(M152="M",L152*12,IF(M152="W",L152*Lookups!B$9,IF(M152="B",L152*+Lookups!B$10,IF(M152="S",L152*2,IF(AND(L152=0,N152&gt;0),N152,"ERROR"))))))))</f>
        <v>0</v>
      </c>
      <c r="P152" s="170" t="str">
        <f t="shared" si="5"/>
        <v/>
      </c>
      <c r="Q152" s="171" t="str">
        <f>IF(AND(N152&gt;0,G152=0,L152=0),"X",IF(AND(N152&gt;0,G152&gt;0),"E",IF(P152="","",IF(P152=0,"S",IF(AND(P152&gt;0,NOT(G152=0)),"I",IF(AND(P152&gt;0,G152=0),"N",IF(P152&lt;0,"D","ERROR")))))))</f>
        <v/>
      </c>
      <c r="R152" s="156"/>
    </row>
    <row r="153" spans="1:23" x14ac:dyDescent="0.35">
      <c r="A153" s="28" t="s">
        <v>181</v>
      </c>
      <c r="B153" s="4" t="s">
        <v>329</v>
      </c>
      <c r="C153" s="24">
        <v>400</v>
      </c>
      <c r="D153" s="22"/>
      <c r="E153" s="13">
        <v>100</v>
      </c>
      <c r="F153" s="27">
        <f>IF(D153=0,E153,IF(AND(E153=0,I153="A"),D153,IF(E153&gt;D153,E153, IF(E153/D153&gt;0.73,D153,E153))))</f>
        <v>100</v>
      </c>
      <c r="G153" s="22"/>
      <c r="H153" s="26"/>
      <c r="I153" s="13"/>
      <c r="J153" s="13"/>
      <c r="K153" s="27">
        <f>IF(H153="",0,IF(J153&gt;0,0,IF(H153="A",G153,IF(H153="M",G153*12,IF(H153="W",G153*(Lookups!$B$9+1),IF(H153="B",G153*(+Lookups!$B$10),IF(H153="S",G153*2,IF(AND(G153=0,J153&gt;0),J153,"ERROR"))))))))</f>
        <v>0</v>
      </c>
      <c r="L153" s="22"/>
      <c r="M153" s="26"/>
      <c r="N153" s="13"/>
      <c r="O153" s="27">
        <f>IF(L153="",0,IF(N153&gt;0,0,IF(M153="A",L153,IF(M153="M",L153*12,IF(M153="W",L153*Lookups!B$9,IF(M153="B",L153*+Lookups!B$10,IF(M153="S",L153*2,IF(AND(L153=0,N153&gt;0),N153,"ERROR"))))))))</f>
        <v>0</v>
      </c>
      <c r="P153" s="170" t="str">
        <f t="shared" si="5"/>
        <v/>
      </c>
      <c r="Q153" s="171" t="str">
        <f>IF(AND(N153&gt;0,G153=0,L153=0),"X",IF(AND(N153&gt;0,G153&gt;0),"E",IF(P153="","",IF(P153=0,"S",IF(AND(P153&gt;0,NOT(G153=0)),"I",IF(AND(P153&gt;0,G153=0),"N",IF(P153&lt;0,"D","ERROR")))))))</f>
        <v/>
      </c>
      <c r="R153" s="156"/>
    </row>
    <row r="154" spans="1:23" x14ac:dyDescent="0.35">
      <c r="A154" s="28" t="s">
        <v>183</v>
      </c>
      <c r="B154" s="4" t="s">
        <v>184</v>
      </c>
      <c r="C154" s="24">
        <v>1747</v>
      </c>
      <c r="D154" s="22">
        <v>1320</v>
      </c>
      <c r="E154" s="13">
        <v>660</v>
      </c>
      <c r="F154" s="27">
        <f>IF(D154=0,E154,IF(AND(E154=0,I154="A"),D154,IF(E154&gt;D154,E154, IF(E154/D154&gt;0.73,D154,E154))))</f>
        <v>660</v>
      </c>
      <c r="G154" s="22">
        <v>110</v>
      </c>
      <c r="H154" s="26" t="s">
        <v>46</v>
      </c>
      <c r="I154" s="13"/>
      <c r="J154" s="13"/>
      <c r="K154" s="27">
        <f>IF(H154="",0,IF(J154&gt;0,0,IF(H154="A",G154,IF(H154="M",G154*12,IF(H154="W",G154*(Lookups!$B$9+1),IF(H154="B",G154*(+Lookups!$B$10),IF(H154="S",G154*2,IF(AND(G154=0,J154&gt;0),J154,"ERROR"))))))))</f>
        <v>1320</v>
      </c>
      <c r="L154" s="22">
        <v>170</v>
      </c>
      <c r="M154" s="26" t="s">
        <v>46</v>
      </c>
      <c r="N154" s="13"/>
      <c r="O154" s="27">
        <f>IF(L154="",0,IF(N154&gt;0,0,IF(M154="A",L154,IF(M154="M",L154*12,IF(M154="W",L154*Lookups!B$9,IF(M154="B",L154*+Lookups!B$10,IF(M154="S",L154*2,IF(AND(L154=0,N154&gt;0),N154,"ERROR"))))))))</f>
        <v>2040</v>
      </c>
      <c r="P154" s="170">
        <f t="shared" si="5"/>
        <v>720</v>
      </c>
      <c r="Q154" s="171" t="str">
        <f>IF(AND(N154&gt;0,G154=0,L154=0),"X",IF(AND(N154&gt;0,G154&gt;0),"E",IF(P154="","",IF(P154=0,"S",IF(AND(P154&gt;0,NOT(G154=0)),"I",IF(AND(P154&gt;0,G154=0),"N",IF(P154&lt;0,"D","ERROR")))))))</f>
        <v>I</v>
      </c>
      <c r="R154" s="156"/>
      <c r="S154" s="69" t="s">
        <v>616</v>
      </c>
      <c r="T154" s="70" t="s">
        <v>617</v>
      </c>
      <c r="U154" s="70" t="s">
        <v>582</v>
      </c>
      <c r="V154" s="71" t="s">
        <v>414</v>
      </c>
      <c r="W154" s="72">
        <v>53406</v>
      </c>
    </row>
    <row r="155" spans="1:23" x14ac:dyDescent="0.35">
      <c r="A155" s="28" t="s">
        <v>183</v>
      </c>
      <c r="B155" s="4" t="s">
        <v>394</v>
      </c>
      <c r="C155" s="24"/>
      <c r="D155" s="22"/>
      <c r="E155" s="13">
        <v>25</v>
      </c>
      <c r="F155" s="27">
        <f>IF(D155=0,E155,IF(AND(E155=0,I155="A"),D155,IF(E155&gt;D155,E155, IF(E155/D155&gt;0.73,D155,E155))))</f>
        <v>25</v>
      </c>
      <c r="G155" s="22"/>
      <c r="H155" s="26"/>
      <c r="I155" s="13"/>
      <c r="J155" s="13"/>
      <c r="K155" s="27">
        <f>IF(H155="",0,IF(J155&gt;0,0,IF(H155="A",G155,IF(H155="M",G155*12,IF(H155="W",G155*(Lookups!$B$9+1),IF(H155="B",G155*(+Lookups!$B$10),IF(H155="S",G155*2,IF(AND(G155=0,J155&gt;0),J155,"ERROR"))))))))</f>
        <v>0</v>
      </c>
      <c r="L155" s="22"/>
      <c r="M155" s="26"/>
      <c r="N155" s="13"/>
      <c r="O155" s="27">
        <f>IF(L155="",0,IF(N155&gt;0,0,IF(M155="A",L155,IF(M155="M",L155*12,IF(M155="W",L155*Lookups!B$9,IF(M155="B",L155*+Lookups!B$10,IF(M155="S",L155*2,IF(AND(L155=0,N155&gt;0),N155,"ERROR"))))))))</f>
        <v>0</v>
      </c>
      <c r="P155" s="170" t="str">
        <f t="shared" si="5"/>
        <v/>
      </c>
      <c r="Q155" s="171" t="str">
        <f>IF(AND(N155&gt;0,G155=0,L155=0),"X",IF(AND(N155&gt;0,G155&gt;0),"E",IF(P155="","",IF(P155=0,"S",IF(AND(P155&gt;0,NOT(G155=0)),"I",IF(AND(P155&gt;0,G155=0),"N",IF(P155&lt;0,"D","ERROR")))))))</f>
        <v/>
      </c>
      <c r="R155" s="156"/>
    </row>
    <row r="156" spans="1:23" ht="29" x14ac:dyDescent="0.35">
      <c r="A156" s="28" t="s">
        <v>185</v>
      </c>
      <c r="B156" s="4" t="s">
        <v>186</v>
      </c>
      <c r="C156" s="24">
        <v>100000</v>
      </c>
      <c r="D156" s="22">
        <v>100000</v>
      </c>
      <c r="E156" s="13">
        <v>110000</v>
      </c>
      <c r="F156" s="27">
        <f>IF(D156=0,E156,IF(AND(E156=0,I156="A"),D156,IF(E156&gt;D156,E156, IF(E156/D156&gt;0.73,D156,E156))))</f>
        <v>110000</v>
      </c>
      <c r="G156" s="22">
        <v>80000</v>
      </c>
      <c r="H156" s="26" t="s">
        <v>42</v>
      </c>
      <c r="I156" s="13"/>
      <c r="J156" s="13"/>
      <c r="K156" s="27">
        <f>IF(H156="",0,IF(J156&gt;0,0,IF(H156="A",G156,IF(H156="M",G156*12,IF(H156="W",G156*(Lookups!$B$9+1),IF(H156="B",G156*(+Lookups!$B$10),IF(H156="S",G156*2,IF(AND(G156=0,J156&gt;0),J156,"ERROR"))))))))</f>
        <v>80000</v>
      </c>
      <c r="L156" s="22">
        <v>80000</v>
      </c>
      <c r="M156" s="26" t="s">
        <v>42</v>
      </c>
      <c r="N156" s="13"/>
      <c r="O156" s="27">
        <f>IF(L156="",0,IF(N156&gt;0,0,IF(M156="A",L156,IF(M156="M",L156*12,IF(M156="W",L156*Lookups!B$9,IF(M156="B",L156*+Lookups!B$10,IF(M156="S",L156*2,IF(AND(L156=0,N156&gt;0),N156,"ERROR"))))))))</f>
        <v>80000</v>
      </c>
      <c r="P156" s="170">
        <f t="shared" si="5"/>
        <v>0</v>
      </c>
      <c r="Q156" s="171" t="str">
        <f>IF(AND(N156&gt;0,G156=0,L156=0),"X",IF(AND(N156&gt;0,G156&gt;0),"E",IF(P156="","",IF(P156=0,"S",IF(AND(P156&gt;0,NOT(G156=0)),"I",IF(AND(P156&gt;0,G156=0),"N",IF(P156&lt;0,"D","ERROR")))))))</f>
        <v>S</v>
      </c>
      <c r="R156" s="164" t="s">
        <v>618</v>
      </c>
    </row>
    <row r="157" spans="1:23" x14ac:dyDescent="0.35">
      <c r="A157" s="28" t="s">
        <v>187</v>
      </c>
      <c r="B157" s="4" t="s">
        <v>188</v>
      </c>
      <c r="C157" s="24">
        <v>1640</v>
      </c>
      <c r="D157" s="22">
        <v>1820</v>
      </c>
      <c r="E157" s="13">
        <v>900</v>
      </c>
      <c r="F157" s="27">
        <f>IF(D157=0,E157,IF(AND(E157=0,I157="A"),D157,IF(E157&gt;D157,E157, IF(E157/D157&gt;0.73,D157,E157))))</f>
        <v>900</v>
      </c>
      <c r="G157" s="22">
        <v>35</v>
      </c>
      <c r="H157" s="26" t="s">
        <v>45</v>
      </c>
      <c r="I157" s="13"/>
      <c r="J157" s="13"/>
      <c r="K157" s="27">
        <f>IF(H157="",0,IF(J157&gt;0,0,IF(H157="A",G157,IF(H157="M",G157*12,IF(H157="W",G157*(Lookups!$B$9+1),IF(H157="B",G157*(+Lookups!$B$10),IF(H157="S",G157*2,IF(AND(G157=0,J157&gt;0),J157,"ERROR"))))))))</f>
        <v>1855</v>
      </c>
      <c r="L157" s="22"/>
      <c r="M157" s="26"/>
      <c r="N157" s="13"/>
      <c r="O157" s="27">
        <f>IF(L157="",0,IF(N157&gt;0,0,IF(M157="A",L157,IF(M157="M",L157*12,IF(M157="W",L157*Lookups!B$9,IF(M157="B",L157*+Lookups!B$10,IF(M157="S",L157*2,IF(AND(L157=0,N157&gt;0),N157,"ERROR"))))))))</f>
        <v>0</v>
      </c>
      <c r="P157" s="170">
        <f t="shared" si="5"/>
        <v>-1855</v>
      </c>
      <c r="Q157" s="171" t="str">
        <f>IF(AND(N157&gt;0,G157=0,L157=0),"X",IF(AND(N157&gt;0,G157&gt;0),"E",IF(P157="","",IF(P157=0,"S",IF(AND(P157&gt;0,NOT(G157=0)),"I",IF(AND(P157&gt;0,G157=0),"N",IF(P157&lt;0,"D","ERROR")))))))</f>
        <v>D</v>
      </c>
      <c r="R157" s="156"/>
    </row>
    <row r="158" spans="1:23" x14ac:dyDescent="0.35">
      <c r="A158" s="28" t="s">
        <v>330</v>
      </c>
      <c r="B158" s="4" t="s">
        <v>331</v>
      </c>
      <c r="C158" s="24">
        <v>800</v>
      </c>
      <c r="D158" s="22"/>
      <c r="E158" s="13"/>
      <c r="F158" s="27">
        <f>IF(D158=0,E158,IF(AND(E158=0,I158="A"),D158,IF(E158&gt;D158,E158, IF(E158/D158&gt;0.73,D158,E158))))</f>
        <v>0</v>
      </c>
      <c r="G158" s="22"/>
      <c r="H158" s="26"/>
      <c r="I158" s="13"/>
      <c r="J158" s="13"/>
      <c r="K158" s="27">
        <f>IF(H158="",0,IF(J158&gt;0,0,IF(H158="A",G158,IF(H158="M",G158*12,IF(H158="W",G158*(Lookups!$B$9+1),IF(H158="B",G158*(+Lookups!$B$10),IF(H158="S",G158*2,IF(AND(G158=0,J158&gt;0),J158,"ERROR"))))))))</f>
        <v>0</v>
      </c>
      <c r="L158" s="22"/>
      <c r="M158" s="26"/>
      <c r="N158" s="13"/>
      <c r="O158" s="27">
        <f>IF(L158="",0,IF(N158&gt;0,0,IF(M158="A",L158,IF(M158="M",L158*12,IF(M158="W",L158*Lookups!B$9,IF(M158="B",L158*+Lookups!B$10,IF(M158="S",L158*2,IF(AND(L158=0,N158&gt;0),N158,"ERROR"))))))))</f>
        <v>0</v>
      </c>
      <c r="P158" s="170" t="str">
        <f t="shared" si="5"/>
        <v/>
      </c>
      <c r="Q158" s="171" t="str">
        <f>IF(AND(N158&gt;0,G158=0,L158=0),"X",IF(AND(N158&gt;0,G158&gt;0),"E",IF(P158="","",IF(P158=0,"S",IF(AND(P158&gt;0,NOT(G158=0)),"I",IF(AND(P158&gt;0,G158=0),"N",IF(P158&lt;0,"D","ERROR")))))))</f>
        <v/>
      </c>
      <c r="R158" s="156"/>
    </row>
    <row r="159" spans="1:23" ht="29" x14ac:dyDescent="0.35">
      <c r="A159" s="28" t="s">
        <v>189</v>
      </c>
      <c r="B159" s="4" t="s">
        <v>190</v>
      </c>
      <c r="C159" s="24">
        <v>3640</v>
      </c>
      <c r="D159" s="22">
        <v>3120</v>
      </c>
      <c r="E159" s="13">
        <v>2340</v>
      </c>
      <c r="F159" s="27">
        <f>IF(D159=0,E159,IF(AND(E159=0,I159="A"),D159,IF(E159&gt;D159,E159, IF(E159/D159&gt;0.73,D159,E159))))</f>
        <v>3120</v>
      </c>
      <c r="G159" s="22">
        <v>50</v>
      </c>
      <c r="H159" s="26" t="s">
        <v>45</v>
      </c>
      <c r="I159" s="13"/>
      <c r="J159" s="13"/>
      <c r="K159" s="27">
        <f>IF(H159="",0,IF(J159&gt;0,0,IF(H159="A",G159,IF(H159="M",G159*12,IF(H159="W",G159*(Lookups!$B$9+1),IF(H159="B",G159*(+Lookups!$B$10),IF(H159="S",G159*2,IF(AND(G159=0,J159&gt;0),J159,"ERROR"))))))))</f>
        <v>2650</v>
      </c>
      <c r="L159" s="22">
        <v>55</v>
      </c>
      <c r="M159" s="26" t="s">
        <v>45</v>
      </c>
      <c r="N159" s="13"/>
      <c r="O159" s="27">
        <f>IF(L159="",0,IF(N159&gt;0,0,IF(M159="A",L159,IF(M159="M",L159*12,IF(M159="W",L159*Lookups!B$9,IF(M159="B",L159*+Lookups!B$10,IF(M159="S",L159*2,IF(AND(L159=0,N159&gt;0),N159,"ERROR"))))))))</f>
        <v>2860</v>
      </c>
      <c r="P159" s="170">
        <f t="shared" si="5"/>
        <v>210</v>
      </c>
      <c r="Q159" s="171" t="str">
        <f>IF(AND(N159&gt;0,G159=0,L159=0),"X",IF(AND(N159&gt;0,G159&gt;0),"E",IF(P159="","",IF(P159=0,"S",IF(AND(P159&gt;0,NOT(G159=0)),"I",IF(AND(P159&gt;0,G159=0),"N",IF(P159&lt;0,"D","ERROR")))))))</f>
        <v>I</v>
      </c>
      <c r="R159" s="156"/>
      <c r="S159" s="69" t="s">
        <v>619</v>
      </c>
      <c r="T159" s="154" t="s">
        <v>620</v>
      </c>
      <c r="U159" s="70" t="s">
        <v>621</v>
      </c>
      <c r="V159" s="71" t="s">
        <v>622</v>
      </c>
      <c r="W159" s="72" t="s">
        <v>623</v>
      </c>
    </row>
    <row r="160" spans="1:23" x14ac:dyDescent="0.35">
      <c r="A160" s="28" t="s">
        <v>332</v>
      </c>
      <c r="B160" s="4" t="s">
        <v>333</v>
      </c>
      <c r="C160" s="24">
        <v>165</v>
      </c>
      <c r="D160" s="22"/>
      <c r="E160" s="13"/>
      <c r="F160" s="27">
        <f>IF(D160=0,E160,IF(AND(E160=0,I160="A"),D160,IF(E160&gt;D160,E160, IF(E160/D160&gt;0.73,D160,E160))))</f>
        <v>0</v>
      </c>
      <c r="G160" s="22"/>
      <c r="H160" s="26"/>
      <c r="I160" s="13"/>
      <c r="J160" s="13"/>
      <c r="K160" s="27">
        <f>IF(H160="",0,IF(J160&gt;0,0,IF(H160="A",G160,IF(H160="M",G160*12,IF(H160="W",G160*(Lookups!$B$9+1),IF(H160="B",G160*(+Lookups!$B$10),IF(H160="S",G160*2,IF(AND(G160=0,J160&gt;0),J160,"ERROR"))))))))</f>
        <v>0</v>
      </c>
      <c r="L160" s="22"/>
      <c r="M160" s="26"/>
      <c r="N160" s="13"/>
      <c r="O160" s="27">
        <f>IF(L160="",0,IF(N160&gt;0,0,IF(M160="A",L160,IF(M160="M",L160*12,IF(M160="W",L160*Lookups!B$9,IF(M160="B",L160*+Lookups!B$10,IF(M160="S",L160*2,IF(AND(L160=0,N160&gt;0),N160,"ERROR"))))))))</f>
        <v>0</v>
      </c>
      <c r="P160" s="170" t="str">
        <f t="shared" si="5"/>
        <v/>
      </c>
      <c r="Q160" s="171" t="str">
        <f>IF(AND(N160&gt;0,G160=0,L160=0),"X",IF(AND(N160&gt;0,G160&gt;0),"E",IF(P160="","",IF(P160=0,"S",IF(AND(P160&gt;0,NOT(G160=0)),"I",IF(AND(P160&gt;0,G160=0),"N",IF(P160&lt;0,"D","ERROR")))))))</f>
        <v/>
      </c>
      <c r="R160" s="156"/>
    </row>
    <row r="161" spans="1:24" x14ac:dyDescent="0.35">
      <c r="A161" s="143" t="s">
        <v>191</v>
      </c>
      <c r="B161" s="144" t="s">
        <v>192</v>
      </c>
      <c r="C161" s="165">
        <v>3225</v>
      </c>
      <c r="D161" s="146">
        <v>3900</v>
      </c>
      <c r="E161" s="145">
        <v>2275</v>
      </c>
      <c r="F161" s="147">
        <f>IF(D161=0,E161,IF(AND(E161=0,I161="A"),D161,IF(E161&gt;D161,E161, IF(E161/D161&gt;0.73,D161,E161))))</f>
        <v>2275</v>
      </c>
      <c r="G161" s="146">
        <v>0</v>
      </c>
      <c r="H161" s="148" t="s">
        <v>46</v>
      </c>
      <c r="I161" s="145"/>
      <c r="J161" s="145">
        <v>0</v>
      </c>
      <c r="K161" s="147">
        <f>IF(H161="",0,IF(J161&gt;0,0,IF(H161="A",G161,IF(H161="M",G161*12,IF(H161="W",G161*(Lookups!$B$9+1),IF(H161="B",G161*(+Lookups!$B$10),IF(H161="S",G161*2,IF(AND(G161=0,J161&gt;0),J161,"ERROR"))))))))</f>
        <v>0</v>
      </c>
      <c r="L161" s="146"/>
      <c r="M161" s="148"/>
      <c r="N161" s="145"/>
      <c r="O161" s="147">
        <f>IF(L161="",0,IF(N161&gt;0,0,IF(M161="A",L161,IF(M161="M",L161*12,IF(M161="W",L161*Lookups!B$9,IF(M161="B",L161*+Lookups!B$10,IF(M161="S",L161*2,IF(AND(L161=0,N161&gt;0),N161,"ERROR"))))))))</f>
        <v>0</v>
      </c>
      <c r="P161" s="170" t="str">
        <f t="shared" si="5"/>
        <v/>
      </c>
      <c r="Q161" s="171" t="str">
        <f>IF(AND(N161&gt;0,G161=0,L161=0),"X",IF(AND(N161&gt;0,G161&gt;0),"E",IF(P161="","",IF(P161=0,"S",IF(AND(P161&gt;0,NOT(G161=0)),"I",IF(AND(P161&gt;0,G161=0),"N",IF(P161&lt;0,"D","ERROR")))))))</f>
        <v/>
      </c>
      <c r="R161" s="157"/>
      <c r="S161" s="149" t="s">
        <v>521</v>
      </c>
      <c r="T161" s="149"/>
      <c r="U161" s="149"/>
      <c r="V161" s="150"/>
      <c r="W161" s="151"/>
    </row>
    <row r="162" spans="1:24" x14ac:dyDescent="0.35">
      <c r="A162" s="28" t="s">
        <v>193</v>
      </c>
      <c r="B162" s="4" t="s">
        <v>194</v>
      </c>
      <c r="C162" s="24">
        <v>300</v>
      </c>
      <c r="D162" s="22">
        <v>260</v>
      </c>
      <c r="E162" s="13">
        <v>220</v>
      </c>
      <c r="F162" s="27">
        <f>IF(D162=0,E162,IF(AND(E162=0,I162="A"),D162,IF(E162&gt;D162,E162, IF(E162/D162&gt;0.73,D162,E162))))</f>
        <v>260</v>
      </c>
      <c r="G162" s="22">
        <v>20</v>
      </c>
      <c r="H162" s="26" t="s">
        <v>46</v>
      </c>
      <c r="I162" s="13"/>
      <c r="J162" s="13"/>
      <c r="K162" s="27">
        <f>IF(H162="",0,IF(J162&gt;0,0,IF(H162="A",G162,IF(H162="M",G162*12,IF(H162="W",G162*(Lookups!$B$9+1),IF(H162="B",G162*(+Lookups!$B$10),IF(H162="S",G162*2,IF(AND(G162=0,J162&gt;0),J162,"ERROR"))))))))</f>
        <v>240</v>
      </c>
      <c r="L162" s="22"/>
      <c r="M162" s="26"/>
      <c r="N162" s="13"/>
      <c r="O162" s="27">
        <f>IF(L162="",0,IF(N162&gt;0,0,IF(M162="A",L162,IF(M162="M",L162*12,IF(M162="W",L162*Lookups!B$9,IF(M162="B",L162*+Lookups!B$10,IF(M162="S",L162*2,IF(AND(L162=0,N162&gt;0),N162,"ERROR"))))))))</f>
        <v>0</v>
      </c>
      <c r="P162" s="170">
        <f t="shared" si="5"/>
        <v>-240</v>
      </c>
      <c r="Q162" s="171" t="str">
        <f>IF(AND(N162&gt;0,G162=0,L162=0),"X",IF(AND(N162&gt;0,G162&gt;0),"E",IF(P162="","",IF(P162=0,"S",IF(AND(P162&gt;0,NOT(G162=0)),"I",IF(AND(P162&gt;0,G162=0),"N",IF(P162&lt;0,"D","ERROR")))))))</f>
        <v>D</v>
      </c>
      <c r="R162" s="156"/>
    </row>
    <row r="163" spans="1:24" x14ac:dyDescent="0.35">
      <c r="A163" s="28" t="s">
        <v>195</v>
      </c>
      <c r="B163" s="4" t="s">
        <v>196</v>
      </c>
      <c r="C163" s="24">
        <v>1100</v>
      </c>
      <c r="D163" s="22">
        <v>1200</v>
      </c>
      <c r="E163" s="13">
        <v>900</v>
      </c>
      <c r="F163" s="27">
        <f>IF(D163=0,E163,IF(AND(E163=0,I163="A"),D163,IF(E163&gt;D163,E163, IF(E163/D163&gt;0.73,D163,E163))))</f>
        <v>1200</v>
      </c>
      <c r="G163" s="22"/>
      <c r="H163" s="26" t="s">
        <v>46</v>
      </c>
      <c r="I163" s="13"/>
      <c r="J163" s="13">
        <v>1000</v>
      </c>
      <c r="K163" s="27">
        <f>IF(H163="",0,IF(J163&gt;0,0,IF(H163="A",G163,IF(H163="M",G163*12,IF(H163="W",G163*(Lookups!$B$9+1),IF(H163="B",G163*(+Lookups!$B$10),IF(H163="S",G163*2,IF(AND(G163=0,J163&gt;0),J163,"ERROR"))))))))</f>
        <v>0</v>
      </c>
      <c r="L163" s="22"/>
      <c r="M163" s="26"/>
      <c r="N163" s="13"/>
      <c r="O163" s="27">
        <f>IF(L163="",0,IF(N163&gt;0,0,IF(M163="A",L163,IF(M163="M",L163*12,IF(M163="W",L163*Lookups!B$9,IF(M163="B",L163*+Lookups!B$10,IF(M163="S",L163*2,IF(AND(L163=0,N163&gt;0),N163,"ERROR"))))))))</f>
        <v>0</v>
      </c>
      <c r="P163" s="170" t="str">
        <f t="shared" si="5"/>
        <v/>
      </c>
      <c r="Q163" s="171" t="str">
        <f>IF(AND(N163&gt;0,G163=0,L163=0),"X",IF(AND(N163&gt;0,G163&gt;0),"E",IF(P163="","",IF(P163=0,"S",IF(AND(P163&gt;0,NOT(G163=0)),"I",IF(AND(P163&gt;0,G163=0),"N",IF(P163&lt;0,"D","ERROR")))))))</f>
        <v/>
      </c>
      <c r="R163" s="156"/>
    </row>
    <row r="164" spans="1:24" x14ac:dyDescent="0.35">
      <c r="A164" s="28" t="s">
        <v>334</v>
      </c>
      <c r="B164" s="4" t="s">
        <v>335</v>
      </c>
      <c r="C164" s="24">
        <v>50</v>
      </c>
      <c r="D164" s="22"/>
      <c r="E164" s="13"/>
      <c r="F164" s="27">
        <f>IF(D164=0,E164,IF(AND(E164=0,I164="A"),D164,IF(E164&gt;D164,E164, IF(E164/D164&gt;0.73,D164,E164))))</f>
        <v>0</v>
      </c>
      <c r="G164" s="22"/>
      <c r="H164" s="26"/>
      <c r="I164" s="13"/>
      <c r="J164" s="13"/>
      <c r="K164" s="27">
        <f>IF(H164="",0,IF(J164&gt;0,0,IF(H164="A",G164,IF(H164="M",G164*12,IF(H164="W",G164*(Lookups!$B$9+1),IF(H164="B",G164*(+Lookups!$B$10),IF(H164="S",G164*2,IF(AND(G164=0,J164&gt;0),J164,"ERROR"))))))))</f>
        <v>0</v>
      </c>
      <c r="L164" s="22"/>
      <c r="M164" s="26"/>
      <c r="N164" s="13"/>
      <c r="O164" s="27">
        <f>IF(L164="",0,IF(N164&gt;0,0,IF(M164="A",L164,IF(M164="M",L164*12,IF(M164="W",L164*Lookups!B$9,IF(M164="B",L164*+Lookups!B$10,IF(M164="S",L164*2,IF(AND(L164=0,N164&gt;0),N164,"ERROR"))))))))</f>
        <v>0</v>
      </c>
      <c r="P164" s="170" t="str">
        <f t="shared" si="5"/>
        <v/>
      </c>
      <c r="Q164" s="171" t="str">
        <f>IF(AND(N164&gt;0,G164=0,L164=0),"X",IF(AND(N164&gt;0,G164&gt;0),"E",IF(P164="","",IF(P164=0,"S",IF(AND(P164&gt;0,NOT(G164=0)),"I",IF(AND(P164&gt;0,G164=0),"N",IF(P164&lt;0,"D","ERROR")))))))</f>
        <v/>
      </c>
      <c r="R164" s="156"/>
    </row>
    <row r="165" spans="1:24" x14ac:dyDescent="0.35">
      <c r="A165" s="28" t="s">
        <v>197</v>
      </c>
      <c r="B165" s="4" t="s">
        <v>198</v>
      </c>
      <c r="C165" s="24">
        <v>3300</v>
      </c>
      <c r="D165" s="22">
        <v>3500</v>
      </c>
      <c r="E165" s="13">
        <v>2475</v>
      </c>
      <c r="F165" s="27">
        <f>IF(D165=0,E165,IF(AND(E165=0,I165="A"),D165,IF(E165&gt;D165,E165, IF(E165/D165&gt;0.73,D165,E165))))</f>
        <v>2475</v>
      </c>
      <c r="G165" s="22">
        <v>275</v>
      </c>
      <c r="H165" s="26" t="s">
        <v>46</v>
      </c>
      <c r="I165" s="13"/>
      <c r="J165" s="13"/>
      <c r="K165" s="27">
        <f>IF(H165="",0,IF(J165&gt;0,0,IF(H165="A",G165,IF(H165="M",G165*12,IF(H165="W",G165*(Lookups!$B$9+1),IF(H165="B",G165*(+Lookups!$B$10),IF(H165="S",G165*2,IF(AND(G165=0,J165&gt;0),J165,"ERROR"))))))))</f>
        <v>3300</v>
      </c>
      <c r="L165" s="22">
        <v>275</v>
      </c>
      <c r="M165" s="26" t="s">
        <v>46</v>
      </c>
      <c r="N165" s="13"/>
      <c r="O165" s="27">
        <f>IF(L165="",0,IF(N165&gt;0,0,IF(M165="A",L165,IF(M165="M",L165*12,IF(M165="W",L165*Lookups!B$9,IF(M165="B",L165*+Lookups!B$10,IF(M165="S",L165*2,IF(AND(L165=0,N165&gt;0),N165,"ERROR"))))))))</f>
        <v>3300</v>
      </c>
      <c r="P165" s="170">
        <f t="shared" si="5"/>
        <v>0</v>
      </c>
      <c r="Q165" s="171" t="str">
        <f>IF(AND(N165&gt;0,G165=0,L165=0),"X",IF(AND(N165&gt;0,G165&gt;0),"E",IF(P165="","",IF(P165=0,"S",IF(AND(P165&gt;0,NOT(G165=0)),"I",IF(AND(P165&gt;0,G165=0),"N",IF(P165&lt;0,"D","ERROR")))))))</f>
        <v>S</v>
      </c>
      <c r="R165" s="156"/>
      <c r="S165" s="69" t="s">
        <v>498</v>
      </c>
      <c r="T165" s="70" t="s">
        <v>499</v>
      </c>
      <c r="U165" s="70" t="s">
        <v>413</v>
      </c>
      <c r="V165" s="71" t="s">
        <v>414</v>
      </c>
      <c r="W165" s="72">
        <v>53406</v>
      </c>
    </row>
    <row r="166" spans="1:24" x14ac:dyDescent="0.35">
      <c r="A166" s="28" t="s">
        <v>336</v>
      </c>
      <c r="B166" s="4" t="s">
        <v>337</v>
      </c>
      <c r="C166" s="24">
        <v>50</v>
      </c>
      <c r="D166" s="22"/>
      <c r="E166" s="13"/>
      <c r="F166" s="27">
        <f>IF(D166=0,E166,IF(AND(E166=0,I166="A"),D166,IF(E166&gt;D166,E166, IF(E166/D166&gt;0.73,D166,E166))))</f>
        <v>0</v>
      </c>
      <c r="G166" s="22"/>
      <c r="H166" s="26"/>
      <c r="I166" s="13"/>
      <c r="J166" s="13"/>
      <c r="K166" s="27">
        <f>IF(H166="",0,IF(J166&gt;0,0,IF(H166="A",G166,IF(H166="M",G166*12,IF(H166="W",G166*(Lookups!$B$9+1),IF(H166="B",G166*(+Lookups!$B$10),IF(H166="S",G166*2,IF(AND(G166=0,J166&gt;0),J166,"ERROR"))))))))</f>
        <v>0</v>
      </c>
      <c r="L166" s="22"/>
      <c r="M166" s="26"/>
      <c r="N166" s="13"/>
      <c r="O166" s="27">
        <f>IF(L166="",0,IF(N166&gt;0,0,IF(M166="A",L166,IF(M166="M",L166*12,IF(M166="W",L166*Lookups!B$9,IF(M166="B",L166*+Lookups!B$10,IF(M166="S",L166*2,IF(AND(L166=0,N166&gt;0),N166,"ERROR"))))))))</f>
        <v>0</v>
      </c>
      <c r="P166" s="170" t="str">
        <f t="shared" si="5"/>
        <v/>
      </c>
      <c r="Q166" s="171" t="str">
        <f>IF(AND(N166&gt;0,G166=0,L166=0),"X",IF(AND(N166&gt;0,G166&gt;0),"E",IF(P166="","",IF(P166=0,"S",IF(AND(P166&gt;0,NOT(G166=0)),"I",IF(AND(P166&gt;0,G166=0),"N",IF(P166&lt;0,"D","ERROR")))))))</f>
        <v/>
      </c>
      <c r="R166" s="156"/>
    </row>
    <row r="167" spans="1:24" x14ac:dyDescent="0.35">
      <c r="A167" s="28" t="s">
        <v>199</v>
      </c>
      <c r="B167" s="4" t="s">
        <v>200</v>
      </c>
      <c r="C167" s="24">
        <v>1060</v>
      </c>
      <c r="D167" s="22">
        <v>1144</v>
      </c>
      <c r="E167" s="13">
        <v>858</v>
      </c>
      <c r="F167" s="27">
        <f>IF(D167=0,E167,IF(AND(E167=0,I167="A"),D167,IF(E167&gt;D167,E167, IF(E167/D167&gt;0.73,D167,E167))))</f>
        <v>1144</v>
      </c>
      <c r="G167" s="22"/>
      <c r="H167" s="26" t="s">
        <v>45</v>
      </c>
      <c r="I167" s="13"/>
      <c r="J167" s="13">
        <v>1000</v>
      </c>
      <c r="K167" s="27">
        <f>IF(H167="",0,IF(J167&gt;0,0,IF(H167="A",G167,IF(H167="M",G167*12,IF(H167="W",G167*(Lookups!$B$9+1),IF(H167="B",G167*(+Lookups!$B$10),IF(H167="S",G167*2,IF(AND(G167=0,J167&gt;0),J167,"ERROR"))))))))</f>
        <v>0</v>
      </c>
      <c r="L167" s="22"/>
      <c r="M167" s="26"/>
      <c r="N167" s="13"/>
      <c r="O167" s="27">
        <f>IF(L167="",0,IF(N167&gt;0,0,IF(M167="A",L167,IF(M167="M",L167*12,IF(M167="W",L167*Lookups!B$9,IF(M167="B",L167*+Lookups!B$10,IF(M167="S",L167*2,IF(AND(L167=0,N167&gt;0),N167,"ERROR"))))))))</f>
        <v>0</v>
      </c>
      <c r="P167" s="170" t="str">
        <f t="shared" si="5"/>
        <v/>
      </c>
      <c r="Q167" s="171" t="str">
        <f>IF(AND(N167&gt;0,G167=0,L167=0),"X",IF(AND(N167&gt;0,G167&gt;0),"E",IF(P167="","",IF(P167=0,"S",IF(AND(P167&gt;0,NOT(G167=0)),"I",IF(AND(P167&gt;0,G167=0),"N",IF(P167&lt;0,"D","ERROR")))))))</f>
        <v/>
      </c>
      <c r="R167" s="156"/>
    </row>
    <row r="168" spans="1:24" x14ac:dyDescent="0.35">
      <c r="A168" s="28" t="s">
        <v>201</v>
      </c>
      <c r="B168" s="4" t="s">
        <v>202</v>
      </c>
      <c r="C168" s="24">
        <v>1500</v>
      </c>
      <c r="D168" s="22">
        <v>1200</v>
      </c>
      <c r="E168" s="13">
        <v>800</v>
      </c>
      <c r="F168" s="27">
        <f>IF(D168=0,E168,IF(AND(E168=0,I168="A"),D168,IF(E168&gt;D168,E168, IF(E168/D168&gt;0.73,D168,E168))))</f>
        <v>800</v>
      </c>
      <c r="G168" s="22">
        <v>100</v>
      </c>
      <c r="H168" s="26" t="s">
        <v>46</v>
      </c>
      <c r="I168" s="13"/>
      <c r="J168" s="13"/>
      <c r="K168" s="27">
        <f>IF(H168="",0,IF(J168&gt;0,0,IF(H168="A",G168,IF(H168="M",G168*12,IF(H168="W",G168*(Lookups!$B$9+1),IF(H168="B",G168*(+Lookups!$B$10),IF(H168="S",G168*2,IF(AND(G168=0,J168&gt;0),J168,"ERROR"))))))))</f>
        <v>1200</v>
      </c>
      <c r="L168" s="22">
        <v>100</v>
      </c>
      <c r="M168" s="26" t="s">
        <v>46</v>
      </c>
      <c r="N168" s="13"/>
      <c r="O168" s="27">
        <f>IF(L168="",0,IF(N168&gt;0,0,IF(M168="A",L168,IF(M168="M",L168*12,IF(M168="W",L168*Lookups!B$9,IF(M168="B",L168*+Lookups!B$10,IF(M168="S",L168*2,IF(AND(L168=0,N168&gt;0),N168,"ERROR"))))))))</f>
        <v>1200</v>
      </c>
      <c r="P168" s="170">
        <f t="shared" si="5"/>
        <v>0</v>
      </c>
      <c r="Q168" s="171" t="str">
        <f>IF(AND(N168&gt;0,G168=0,L168=0),"X",IF(AND(N168&gt;0,G168&gt;0),"E",IF(P168="","",IF(P168=0,"S",IF(AND(P168&gt;0,NOT(G168=0)),"I",IF(AND(P168&gt;0,G168=0),"N",IF(P168&lt;0,"D","ERROR")))))))</f>
        <v>S</v>
      </c>
      <c r="R168" s="156"/>
      <c r="S168" s="69" t="s">
        <v>624</v>
      </c>
      <c r="T168" s="70" t="s">
        <v>500</v>
      </c>
      <c r="U168" s="70" t="s">
        <v>439</v>
      </c>
      <c r="V168" s="71" t="s">
        <v>414</v>
      </c>
      <c r="W168" s="72">
        <v>53182</v>
      </c>
    </row>
    <row r="169" spans="1:24" x14ac:dyDescent="0.35">
      <c r="A169" s="28" t="s">
        <v>203</v>
      </c>
      <c r="B169" s="4" t="s">
        <v>626</v>
      </c>
      <c r="C169" s="24">
        <v>4275</v>
      </c>
      <c r="D169" s="22">
        <v>5980</v>
      </c>
      <c r="E169" s="13">
        <v>1840</v>
      </c>
      <c r="F169" s="27">
        <f>IF(D169=0,E169,IF(AND(E169=0,I169="A"),D169,IF(E169&gt;D169,E169, IF(E169/D169&gt;0.73,D169,E169))))</f>
        <v>1840</v>
      </c>
      <c r="G169" s="22"/>
      <c r="H169" s="26" t="s">
        <v>45</v>
      </c>
      <c r="I169" s="13"/>
      <c r="J169" s="13">
        <v>2000</v>
      </c>
      <c r="K169" s="27">
        <f>IF(H169="",0,IF(J169&gt;0,0,IF(H169="A",G169,IF(H169="M",G169*12,IF(H169="W",G169*(Lookups!$B$9+1),IF(H169="B",G169*(+Lookups!$B$10),IF(H169="S",G169*2,IF(AND(G169=0,J169&gt;0),J169,"ERROR"))))))))</f>
        <v>0</v>
      </c>
      <c r="L169" s="22">
        <v>50</v>
      </c>
      <c r="M169" s="26" t="s">
        <v>45</v>
      </c>
      <c r="N169" s="13"/>
      <c r="O169" s="27">
        <f>IF(L169="",0,IF(N169&gt;0,0,IF(M169="A",L169,IF(M169="M",L169*12,IF(M169="W",L169*Lookups!B$9,IF(M169="B",L169*+Lookups!B$10,IF(M169="S",L169*2,IF(AND(L169=0,N169&gt;0),N169,"ERROR"))))))))</f>
        <v>2600</v>
      </c>
      <c r="P169" s="170">
        <f t="shared" si="5"/>
        <v>2600</v>
      </c>
      <c r="Q169" s="171" t="str">
        <f>IF(AND(N169&gt;0,G169=0,L169=0),"X",IF(AND(N169&gt;0,G169&gt;0),"E",IF(P169="","",IF(P169=0,"S",IF(AND(P169&gt;0,NOT(G169=0)),"I",IF(AND(P169&gt;0,G169=0),"N",IF(P169&lt;0,"D","ERROR")))))))</f>
        <v>N</v>
      </c>
      <c r="R169" s="156"/>
      <c r="S169" s="69" t="s">
        <v>625</v>
      </c>
      <c r="T169" s="70" t="s">
        <v>627</v>
      </c>
      <c r="U169" s="70" t="s">
        <v>431</v>
      </c>
      <c r="V169" s="71" t="s">
        <v>414</v>
      </c>
      <c r="W169" s="72">
        <v>53108</v>
      </c>
    </row>
    <row r="170" spans="1:24" x14ac:dyDescent="0.35">
      <c r="A170" s="28" t="s">
        <v>204</v>
      </c>
      <c r="B170" s="4" t="s">
        <v>205</v>
      </c>
      <c r="C170" s="24">
        <v>200</v>
      </c>
      <c r="D170" s="22">
        <v>480</v>
      </c>
      <c r="E170" s="13">
        <v>450</v>
      </c>
      <c r="F170" s="27">
        <f>IF(D170=0,E170,IF(AND(E170=0,I170="A"),D170,IF(E170&gt;D170,E170, IF(E170/D170&gt;0.73,D170,E170))))</f>
        <v>480</v>
      </c>
      <c r="G170" s="22"/>
      <c r="H170" s="26" t="s">
        <v>46</v>
      </c>
      <c r="I170" s="13"/>
      <c r="J170" s="13">
        <v>400</v>
      </c>
      <c r="K170" s="27">
        <f>IF(H170="",0,IF(J170&gt;0,0,IF(H170="A",G170,IF(H170="M",G170*12,IF(H170="W",G170*(Lookups!$B$9+1),IF(H170="B",G170*(+Lookups!$B$10),IF(H170="S",G170*2,IF(AND(G170=0,J170&gt;0),J170,"ERROR"))))))))</f>
        <v>0</v>
      </c>
      <c r="L170" s="22"/>
      <c r="M170" s="26"/>
      <c r="N170" s="13"/>
      <c r="O170" s="27">
        <f>IF(L170="",0,IF(N170&gt;0,0,IF(M170="A",L170,IF(M170="M",L170*12,IF(M170="W",L170*Lookups!B$9,IF(M170="B",L170*+Lookups!B$10,IF(M170="S",L170*2,IF(AND(L170=0,N170&gt;0),N170,"ERROR"))))))))</f>
        <v>0</v>
      </c>
      <c r="P170" s="170" t="str">
        <f t="shared" si="5"/>
        <v/>
      </c>
      <c r="Q170" s="171" t="str">
        <f>IF(AND(N170&gt;0,G170=0,L170=0),"X",IF(AND(N170&gt;0,G170&gt;0),"E",IF(P170="","",IF(P170=0,"S",IF(AND(P170&gt;0,NOT(G170=0)),"I",IF(AND(P170&gt;0,G170=0),"N",IF(P170&lt;0,"D","ERROR")))))))</f>
        <v/>
      </c>
      <c r="R170" s="156"/>
    </row>
    <row r="171" spans="1:24" x14ac:dyDescent="0.35">
      <c r="A171" s="28" t="s">
        <v>338</v>
      </c>
      <c r="B171" s="4" t="s">
        <v>339</v>
      </c>
      <c r="C171" s="24">
        <v>1600</v>
      </c>
      <c r="D171" s="22"/>
      <c r="E171" s="13"/>
      <c r="F171" s="27">
        <f>IF(D171=0,E171,IF(AND(E171=0,I171="A"),D171,IF(E171&gt;D171,E171, IF(E171/D171&gt;0.73,D171,E171))))</f>
        <v>0</v>
      </c>
      <c r="G171" s="22"/>
      <c r="H171" s="26"/>
      <c r="I171" s="13"/>
      <c r="J171" s="13"/>
      <c r="K171" s="27">
        <f>IF(H171="",0,IF(J171&gt;0,0,IF(H171="A",G171,IF(H171="M",G171*12,IF(H171="W",G171*(Lookups!$B$9+1),IF(H171="B",G171*(+Lookups!$B$10),IF(H171="S",G171*2,IF(AND(G171=0,J171&gt;0),J171,"ERROR"))))))))</f>
        <v>0</v>
      </c>
      <c r="L171" s="22"/>
      <c r="M171" s="26"/>
      <c r="N171" s="13"/>
      <c r="O171" s="27">
        <f>IF(L171="",0,IF(N171&gt;0,0,IF(M171="A",L171,IF(M171="M",L171*12,IF(M171="W",L171*Lookups!B$9,IF(M171="B",L171*+Lookups!B$10,IF(M171="S",L171*2,IF(AND(L171=0,N171&gt;0),N171,"ERROR"))))))))</f>
        <v>0</v>
      </c>
      <c r="P171" s="170" t="str">
        <f t="shared" si="5"/>
        <v/>
      </c>
      <c r="Q171" s="171" t="str">
        <f>IF(AND(N171&gt;0,G171=0,L171=0),"X",IF(AND(N171&gt;0,G171&gt;0),"E",IF(P171="","",IF(P171=0,"S",IF(AND(P171&gt;0,NOT(G171=0)),"I",IF(AND(P171&gt;0,G171=0),"N",IF(P171&lt;0,"D","ERROR")))))))</f>
        <v/>
      </c>
      <c r="R171" s="156"/>
    </row>
    <row r="172" spans="1:24" x14ac:dyDescent="0.35">
      <c r="A172" s="28" t="s">
        <v>340</v>
      </c>
      <c r="B172" s="4" t="s">
        <v>341</v>
      </c>
      <c r="C172" s="24">
        <v>345</v>
      </c>
      <c r="D172" s="22"/>
      <c r="E172" s="13">
        <v>425</v>
      </c>
      <c r="F172" s="27">
        <f>IF(D172=0,E172,IF(AND(E172=0,I172="A"),D172,IF(E172&gt;D172,E172, IF(E172/D172&gt;0.73,D172,E172))))</f>
        <v>425</v>
      </c>
      <c r="G172" s="22"/>
      <c r="H172" s="26"/>
      <c r="I172" s="13"/>
      <c r="J172" s="13"/>
      <c r="K172" s="27">
        <f>IF(H172="",0,IF(J172&gt;0,0,IF(H172="A",G172,IF(H172="M",G172*12,IF(H172="W",G172*(Lookups!$B$9+1),IF(H172="B",G172*(+Lookups!$B$10),IF(H172="S",G172*2,IF(AND(G172=0,J172&gt;0),J172,"ERROR"))))))))</f>
        <v>0</v>
      </c>
      <c r="L172" s="22"/>
      <c r="M172" s="26"/>
      <c r="N172" s="13"/>
      <c r="O172" s="27">
        <f>IF(L172="",0,IF(N172&gt;0,0,IF(M172="A",L172,IF(M172="M",L172*12,IF(M172="W",L172*Lookups!B$9,IF(M172="B",L172*+Lookups!B$10,IF(M172="S",L172*2,IF(AND(L172=0,N172&gt;0),N172,"ERROR"))))))))</f>
        <v>0</v>
      </c>
      <c r="P172" s="170" t="str">
        <f t="shared" si="5"/>
        <v/>
      </c>
      <c r="Q172" s="171" t="str">
        <f>IF(AND(N172&gt;0,G172=0,L172=0),"X",IF(AND(N172&gt;0,G172&gt;0),"E",IF(P172="","",IF(P172=0,"S",IF(AND(P172&gt;0,NOT(G172=0)),"I",IF(AND(P172&gt;0,G172=0),"N",IF(P172&lt;0,"D","ERROR")))))))</f>
        <v/>
      </c>
      <c r="R172" s="156"/>
    </row>
    <row r="173" spans="1:24" x14ac:dyDescent="0.35">
      <c r="A173" s="143" t="s">
        <v>342</v>
      </c>
      <c r="B173" s="144" t="s">
        <v>343</v>
      </c>
      <c r="C173" s="165">
        <v>700</v>
      </c>
      <c r="D173" s="146"/>
      <c r="E173" s="145">
        <v>480</v>
      </c>
      <c r="F173" s="147">
        <f>IF(D173=0,E173,IF(AND(E173=0,I173="A"),D173,IF(E173&gt;D173,E173, IF(E173/D173&gt;0.73,D173,E173))))</f>
        <v>480</v>
      </c>
      <c r="G173" s="146"/>
      <c r="H173" s="148"/>
      <c r="I173" s="145"/>
      <c r="J173" s="145"/>
      <c r="K173" s="147">
        <f>IF(H173="",0,IF(J173&gt;0,0,IF(H173="A",G173,IF(H173="M",G173*12,IF(H173="W",G173*(Lookups!$B$9+1),IF(H173="B",G173*(+Lookups!$B$10),IF(H173="S",G173*2,IF(AND(G173=0,J173&gt;0),J173,"ERROR"))))))))</f>
        <v>0</v>
      </c>
      <c r="L173" s="146"/>
      <c r="M173" s="148"/>
      <c r="N173" s="145"/>
      <c r="O173" s="147">
        <f>IF(L173="",0,IF(N173&gt;0,0,IF(M173="A",L173,IF(M173="M",L173*12,IF(M173="W",L173*Lookups!B$9,IF(M173="B",L173*+Lookups!B$10,IF(M173="S",L173*2,IF(AND(L173=0,N173&gt;0),N173,"ERROR"))))))))</f>
        <v>0</v>
      </c>
      <c r="P173" s="170" t="str">
        <f t="shared" si="5"/>
        <v/>
      </c>
      <c r="Q173" s="171" t="str">
        <f>IF(AND(N173&gt;0,G173=0,L173=0),"X",IF(AND(N173&gt;0,G173&gt;0),"E",IF(P173="","",IF(P173=0,"S",IF(AND(P173&gt;0,NOT(G173=0)),"I",IF(AND(P173&gt;0,G173=0),"N",IF(P173&lt;0,"D","ERROR")))))))</f>
        <v/>
      </c>
      <c r="R173" s="157"/>
      <c r="S173" s="152" t="s">
        <v>501</v>
      </c>
      <c r="T173" s="149" t="s">
        <v>502</v>
      </c>
      <c r="U173" s="149" t="s">
        <v>503</v>
      </c>
      <c r="V173" s="150" t="s">
        <v>414</v>
      </c>
      <c r="W173" s="151">
        <v>54495</v>
      </c>
      <c r="X173" s="70" t="s">
        <v>504</v>
      </c>
    </row>
    <row r="174" spans="1:24" x14ac:dyDescent="0.35">
      <c r="A174" s="28" t="s">
        <v>206</v>
      </c>
      <c r="B174" s="4" t="s">
        <v>207</v>
      </c>
      <c r="C174" s="24">
        <v>492</v>
      </c>
      <c r="D174" s="22">
        <v>260</v>
      </c>
      <c r="E174" s="13">
        <v>388</v>
      </c>
      <c r="F174" s="27">
        <f>IF(D174=0,E174,IF(AND(E174=0,I174="A"),D174,IF(E174&gt;D174,E174, IF(E174/D174&gt;0.73,D174,E174))))</f>
        <v>388</v>
      </c>
      <c r="G174" s="22">
        <v>7</v>
      </c>
      <c r="H174" s="26" t="s">
        <v>45</v>
      </c>
      <c r="I174" s="13"/>
      <c r="J174" s="13"/>
      <c r="K174" s="27">
        <f>IF(H174="",0,IF(J174&gt;0,0,IF(H174="A",G174,IF(H174="M",G174*12,IF(H174="W",G174*(Lookups!$B$9+1),IF(H174="B",G174*(+Lookups!$B$10),IF(H174="S",G174*2,IF(AND(G174=0,J174&gt;0),J174,"ERROR"))))))))</f>
        <v>371</v>
      </c>
      <c r="L174" s="22">
        <v>10</v>
      </c>
      <c r="M174" s="26" t="s">
        <v>45</v>
      </c>
      <c r="N174" s="13"/>
      <c r="O174" s="27">
        <f>IF(L174="",0,IF(N174&gt;0,0,IF(M174="A",L174,IF(M174="M",L174*12,IF(M174="W",L174*Lookups!B$9,IF(M174="B",L174*+Lookups!B$10,IF(M174="S",L174*2,IF(AND(L174=0,N174&gt;0),N174,"ERROR"))))))))</f>
        <v>520</v>
      </c>
      <c r="P174" s="170">
        <f t="shared" si="5"/>
        <v>149</v>
      </c>
      <c r="Q174" s="171" t="str">
        <f>IF(AND(N174&gt;0,G174=0,L174=0),"X",IF(AND(N174&gt;0,G174&gt;0),"E",IF(P174="","",IF(P174=0,"S",IF(AND(P174&gt;0,NOT(G174=0)),"I",IF(AND(P174&gt;0,G174=0),"N",IF(P174&lt;0,"D","ERROR")))))))</f>
        <v>I</v>
      </c>
      <c r="R174" s="156"/>
      <c r="T174" s="70" t="s">
        <v>507</v>
      </c>
      <c r="U174" s="70" t="s">
        <v>437</v>
      </c>
      <c r="V174" s="71" t="s">
        <v>414</v>
      </c>
      <c r="W174" s="72">
        <v>53405</v>
      </c>
    </row>
    <row r="175" spans="1:24" x14ac:dyDescent="0.35">
      <c r="A175" s="143" t="s">
        <v>344</v>
      </c>
      <c r="B175" s="144" t="s">
        <v>345</v>
      </c>
      <c r="C175" s="165">
        <v>600</v>
      </c>
      <c r="D175" s="146"/>
      <c r="E175" s="145"/>
      <c r="F175" s="147">
        <f>IF(D175=0,E175,IF(AND(E175=0,I175="A"),D175,IF(E175&gt;D175,E175, IF(E175/D175&gt;0.73,D175,E175))))</f>
        <v>0</v>
      </c>
      <c r="G175" s="146"/>
      <c r="H175" s="148"/>
      <c r="I175" s="145"/>
      <c r="J175" s="145"/>
      <c r="K175" s="147">
        <f>IF(H175="",0,IF(J175&gt;0,0,IF(H175="A",G175,IF(H175="M",G175*12,IF(H175="W",G175*(Lookups!$B$9+1),IF(H175="B",G175*(+Lookups!$B$10),IF(H175="S",G175*2,IF(AND(G175=0,J175&gt;0),J175,"ERROR"))))))))</f>
        <v>0</v>
      </c>
      <c r="L175" s="146"/>
      <c r="M175" s="148"/>
      <c r="N175" s="145"/>
      <c r="O175" s="147">
        <f>IF(L175="",0,IF(N175&gt;0,0,IF(M175="A",L175,IF(M175="M",L175*12,IF(M175="W",L175*Lookups!B$9,IF(M175="B",L175*+Lookups!B$10,IF(M175="S",L175*2,IF(AND(L175=0,N175&gt;0),N175,"ERROR"))))))))</f>
        <v>0</v>
      </c>
      <c r="P175" s="170" t="str">
        <f t="shared" si="5"/>
        <v/>
      </c>
      <c r="Q175" s="171" t="str">
        <f>IF(AND(N175&gt;0,G175=0,L175=0),"X",IF(AND(N175&gt;0,G175&gt;0),"E",IF(P175="","",IF(P175=0,"S",IF(AND(P175&gt;0,NOT(G175=0)),"I",IF(AND(P175&gt;0,G175=0),"N",IF(P175&lt;0,"D","ERROR")))))))</f>
        <v/>
      </c>
      <c r="R175" s="157"/>
      <c r="S175" s="149" t="s">
        <v>525</v>
      </c>
      <c r="T175" s="149"/>
      <c r="U175" s="149"/>
      <c r="V175" s="150"/>
      <c r="W175" s="151"/>
    </row>
    <row r="176" spans="1:24" x14ac:dyDescent="0.35">
      <c r="A176" s="28" t="s">
        <v>346</v>
      </c>
      <c r="B176" s="4" t="s">
        <v>347</v>
      </c>
      <c r="C176" s="24">
        <v>600</v>
      </c>
      <c r="D176" s="22"/>
      <c r="E176" s="13"/>
      <c r="F176" s="27">
        <f>IF(D176=0,E176,IF(AND(E176=0,I176="A"),D176,IF(E176&gt;D176,E176, IF(E176/D176&gt;0.73,D176,E176))))</f>
        <v>0</v>
      </c>
      <c r="G176" s="22">
        <v>600</v>
      </c>
      <c r="H176" s="26" t="s">
        <v>42</v>
      </c>
      <c r="I176" s="13"/>
      <c r="J176" s="13"/>
      <c r="K176" s="27">
        <f>IF(H176="",0,IF(J176&gt;0,0,IF(H176="A",G176,IF(H176="M",G176*12,IF(H176="W",G176*(Lookups!$B$9+1),IF(H176="B",G176*(+Lookups!$B$10),IF(H176="S",G176*2,IF(AND(G176=0,J176&gt;0),J176,"ERROR"))))))))</f>
        <v>600</v>
      </c>
      <c r="L176" s="22"/>
      <c r="M176" s="26"/>
      <c r="N176" s="13"/>
      <c r="O176" s="27">
        <f>IF(L176="",0,IF(N176&gt;0,0,IF(M176="A",L176,IF(M176="M",L176*12,IF(M176="W",L176*Lookups!B$9,IF(M176="B",L176*+Lookups!B$10,IF(M176="S",L176*2,IF(AND(L176=0,N176&gt;0),N176,"ERROR"))))))))</f>
        <v>0</v>
      </c>
      <c r="P176" s="170">
        <f t="shared" si="5"/>
        <v>-600</v>
      </c>
      <c r="Q176" s="171" t="str">
        <f>IF(AND(N176&gt;0,G176=0,L176=0),"X",IF(AND(N176&gt;0,G176&gt;0),"E",IF(P176="","",IF(P176=0,"S",IF(AND(P176&gt;0,NOT(G176=0)),"I",IF(AND(P176&gt;0,G176=0),"N",IF(P176&lt;0,"D","ERROR")))))))</f>
        <v>D</v>
      </c>
      <c r="R176" s="156"/>
    </row>
    <row r="177" spans="1:23" x14ac:dyDescent="0.35">
      <c r="A177" s="143" t="s">
        <v>346</v>
      </c>
      <c r="B177" s="144" t="s">
        <v>348</v>
      </c>
      <c r="C177" s="165">
        <v>502</v>
      </c>
      <c r="D177" s="146"/>
      <c r="E177" s="145"/>
      <c r="F177" s="147">
        <f>IF(D177=0,E177,IF(AND(E177=0,I177="A"),D177,IF(E177&gt;D177,E177, IF(E177/D177&gt;0.73,D177,E177))))</f>
        <v>0</v>
      </c>
      <c r="G177" s="146"/>
      <c r="H177" s="148"/>
      <c r="I177" s="145"/>
      <c r="J177" s="145"/>
      <c r="K177" s="147">
        <f>IF(H177="",0,IF(J177&gt;0,0,IF(H177="A",G177,IF(H177="M",G177*12,IF(H177="W",G177*(Lookups!$B$9+1),IF(H177="B",G177*(+Lookups!$B$10),IF(H177="S",G177*2,IF(AND(G177=0,J177&gt;0),J177,"ERROR"))))))))</f>
        <v>0</v>
      </c>
      <c r="L177" s="146"/>
      <c r="M177" s="148"/>
      <c r="N177" s="145"/>
      <c r="O177" s="147">
        <f>IF(L177="",0,IF(N177&gt;0,0,IF(M177="A",L177,IF(M177="M",L177*12,IF(M177="W",L177*Lookups!B$9,IF(M177="B",L177*+Lookups!B$10,IF(M177="S",L177*2,IF(AND(L177=0,N177&gt;0),N177,"ERROR"))))))))</f>
        <v>0</v>
      </c>
      <c r="P177" s="170" t="str">
        <f t="shared" si="5"/>
        <v/>
      </c>
      <c r="Q177" s="171" t="str">
        <f>IF(AND(N177&gt;0,G177=0,L177=0),"X",IF(AND(N177&gt;0,G177&gt;0),"E",IF(P177="","",IF(P177=0,"S",IF(AND(P177&gt;0,NOT(G177=0)),"I",IF(AND(P177&gt;0,G177=0),"N",IF(P177&lt;0,"D","ERROR")))))))</f>
        <v/>
      </c>
      <c r="R177" s="157"/>
      <c r="S177" s="149" t="s">
        <v>521</v>
      </c>
      <c r="T177" s="149"/>
      <c r="U177" s="149"/>
      <c r="V177" s="150"/>
      <c r="W177" s="151"/>
    </row>
    <row r="178" spans="1:23" x14ac:dyDescent="0.35">
      <c r="A178" s="28" t="s">
        <v>349</v>
      </c>
      <c r="B178" s="4" t="s">
        <v>350</v>
      </c>
      <c r="C178" s="24">
        <v>4100</v>
      </c>
      <c r="D178" s="22"/>
      <c r="E178" s="13">
        <v>3600</v>
      </c>
      <c r="F178" s="27">
        <f>IF(D178=0,E178,IF(AND(E178=0,I178="A"),D178,IF(E178&gt;D178,E178, IF(E178/D178&gt;0.73,D178,E178))))</f>
        <v>3600</v>
      </c>
      <c r="G178" s="22">
        <v>110</v>
      </c>
      <c r="H178" s="26" t="s">
        <v>45</v>
      </c>
      <c r="I178" s="13"/>
      <c r="J178" s="13"/>
      <c r="K178" s="27">
        <f>IF(H178="",0,IF(J178&gt;0,0,IF(H178="A",G178,IF(H178="M",G178*12,IF(H178="W",G178*(Lookups!$B$9+1),IF(H178="B",G178*(+Lookups!$B$10),IF(H178="S",G178*2,IF(AND(G178=0,J178&gt;0),J178,"ERROR"))))))))</f>
        <v>5830</v>
      </c>
      <c r="L178" s="22"/>
      <c r="M178" s="26"/>
      <c r="N178" s="13"/>
      <c r="O178" s="27">
        <f>IF(L178="",0,IF(N178&gt;0,0,IF(M178="A",L178,IF(M178="M",L178*12,IF(M178="W",L178*Lookups!B$9,IF(M178="B",L178*+Lookups!B$10,IF(M178="S",L178*2,IF(AND(L178=0,N178&gt;0),N178,"ERROR"))))))))</f>
        <v>0</v>
      </c>
      <c r="P178" s="170">
        <f t="shared" si="5"/>
        <v>-5830</v>
      </c>
      <c r="Q178" s="171" t="str">
        <f>IF(AND(N178&gt;0,G178=0,L178=0),"X",IF(AND(N178&gt;0,G178&gt;0),"E",IF(P178="","",IF(P178=0,"S",IF(AND(P178&gt;0,NOT(G178=0)),"I",IF(AND(P178&gt;0,G178=0),"N",IF(P178&lt;0,"D","ERROR")))))))</f>
        <v>D</v>
      </c>
      <c r="R178" s="156"/>
    </row>
    <row r="179" spans="1:23" x14ac:dyDescent="0.35">
      <c r="A179" s="28" t="s">
        <v>208</v>
      </c>
      <c r="B179" s="4" t="s">
        <v>209</v>
      </c>
      <c r="C179" s="24">
        <v>60</v>
      </c>
      <c r="D179" s="22">
        <v>240</v>
      </c>
      <c r="E179" s="13">
        <v>40</v>
      </c>
      <c r="F179" s="27">
        <f>IF(D179=0,E179,IF(AND(E179=0,I179="A"),D179,IF(E179&gt;D179,E179, IF(E179/D179&gt;0.73,D179,E179))))</f>
        <v>40</v>
      </c>
      <c r="G179" s="22"/>
      <c r="H179" s="26" t="s">
        <v>46</v>
      </c>
      <c r="I179" s="13"/>
      <c r="J179" s="13"/>
      <c r="K179" s="27">
        <f>IF(H179="",0,IF(J179&gt;0,0,IF(H179="A",G179,IF(H179="M",G179*12,IF(H179="W",G179*(Lookups!$B$9+1),IF(H179="B",G179*(+Lookups!$B$10),IF(H179="S",G179*2,IF(AND(G179=0,J179&gt;0),J179,"ERROR"))))))))</f>
        <v>0</v>
      </c>
      <c r="L179" s="22"/>
      <c r="M179" s="26"/>
      <c r="N179" s="13"/>
      <c r="O179" s="27">
        <f>IF(L179="",0,IF(N179&gt;0,0,IF(M179="A",L179,IF(M179="M",L179*12,IF(M179="W",L179*Lookups!B$9,IF(M179="B",L179*+Lookups!B$10,IF(M179="S",L179*2,IF(AND(L179=0,N179&gt;0),N179,"ERROR"))))))))</f>
        <v>0</v>
      </c>
      <c r="P179" s="170" t="str">
        <f t="shared" si="5"/>
        <v/>
      </c>
      <c r="Q179" s="171" t="str">
        <f>IF(AND(N179&gt;0,G179=0,L179=0),"X",IF(AND(N179&gt;0,G179&gt;0),"E",IF(P179="","",IF(P179=0,"S",IF(AND(P179&gt;0,NOT(G179=0)),"I",IF(AND(P179&gt;0,G179=0),"N",IF(P179&lt;0,"D","ERROR")))))))</f>
        <v/>
      </c>
      <c r="R179" s="156"/>
    </row>
    <row r="180" spans="1:23" x14ac:dyDescent="0.35">
      <c r="A180" s="143" t="s">
        <v>351</v>
      </c>
      <c r="B180" s="144" t="s">
        <v>352</v>
      </c>
      <c r="C180" s="165">
        <v>500</v>
      </c>
      <c r="D180" s="146"/>
      <c r="E180" s="145"/>
      <c r="F180" s="147">
        <f>IF(D180=0,E180,IF(AND(E180=0,I180="A"),D180,IF(E180&gt;D180,E180, IF(E180/D180&gt;0.73,D180,E180))))</f>
        <v>0</v>
      </c>
      <c r="G180" s="146"/>
      <c r="H180" s="148"/>
      <c r="I180" s="145"/>
      <c r="J180" s="145"/>
      <c r="K180" s="147">
        <f>IF(H180="",0,IF(J180&gt;0,0,IF(H180="A",G180,IF(H180="M",G180*12,IF(H180="W",G180*(Lookups!$B$9+1),IF(H180="B",G180*(+Lookups!$B$10),IF(H180="S",G180*2,IF(AND(G180=0,J180&gt;0),J180,"ERROR"))))))))</f>
        <v>0</v>
      </c>
      <c r="L180" s="146"/>
      <c r="M180" s="148"/>
      <c r="N180" s="145"/>
      <c r="O180" s="147">
        <f>IF(L180="",0,IF(N180&gt;0,0,IF(M180="A",L180,IF(M180="M",L180*12,IF(M180="W",L180*Lookups!B$9,IF(M180="B",L180*+Lookups!B$10,IF(M180="S",L180*2,IF(AND(L180=0,N180&gt;0),N180,"ERROR"))))))))</f>
        <v>0</v>
      </c>
      <c r="P180" s="170" t="str">
        <f t="shared" si="5"/>
        <v/>
      </c>
      <c r="Q180" s="171" t="str">
        <f>IF(AND(N180&gt;0,G180=0,L180=0),"X",IF(AND(N180&gt;0,G180&gt;0),"E",IF(P180="","",IF(P180=0,"S",IF(AND(P180&gt;0,NOT(G180=0)),"I",IF(AND(P180&gt;0,G180=0),"N",IF(P180&lt;0,"D","ERROR")))))))</f>
        <v/>
      </c>
      <c r="R180" s="157"/>
      <c r="S180" s="149" t="s">
        <v>521</v>
      </c>
      <c r="T180" s="149"/>
      <c r="U180" s="149"/>
      <c r="V180" s="150"/>
      <c r="W180" s="151"/>
    </row>
    <row r="181" spans="1:23" x14ac:dyDescent="0.35">
      <c r="A181" s="28" t="s">
        <v>353</v>
      </c>
      <c r="B181" s="4" t="s">
        <v>354</v>
      </c>
      <c r="C181" s="24">
        <v>1300</v>
      </c>
      <c r="D181" s="22"/>
      <c r="E181" s="13">
        <v>1050</v>
      </c>
      <c r="F181" s="27">
        <f>IF(D181=0,E181,IF(AND(E181=0,I181="A"),D181,IF(E181&gt;D181,E181, IF(E181/D181&gt;0.73,D181,E181))))</f>
        <v>1050</v>
      </c>
      <c r="G181" s="22"/>
      <c r="H181" s="26"/>
      <c r="I181" s="13"/>
      <c r="J181" s="13">
        <v>1300</v>
      </c>
      <c r="K181" s="27">
        <f>IF(H181="",0,IF(J181&gt;0,0,IF(H181="A",G181,IF(H181="M",G181*12,IF(H181="W",G181*(Lookups!$B$9+1),IF(H181="B",G181*(+Lookups!$B$10),IF(H181="S",G181*2,IF(AND(G181=0,J181&gt;0),J181,"ERROR"))))))))</f>
        <v>0</v>
      </c>
      <c r="L181" s="22"/>
      <c r="M181" s="26"/>
      <c r="N181" s="13"/>
      <c r="O181" s="27">
        <f>IF(L181="",0,IF(N181&gt;0,0,IF(M181="A",L181,IF(M181="M",L181*12,IF(M181="W",L181*Lookups!B$9,IF(M181="B",L181*+Lookups!B$10,IF(M181="S",L181*2,IF(AND(L181=0,N181&gt;0),N181,"ERROR"))))))))</f>
        <v>0</v>
      </c>
      <c r="P181" s="170" t="str">
        <f t="shared" si="5"/>
        <v/>
      </c>
      <c r="Q181" s="171" t="str">
        <f>IF(AND(N181&gt;0,G181=0,L181=0),"X",IF(AND(N181&gt;0,G181&gt;0),"E",IF(P181="","",IF(P181=0,"S",IF(AND(P181&gt;0,NOT(G181=0)),"I",IF(AND(P181&gt;0,G181=0),"N",IF(P181&lt;0,"D","ERROR")))))))</f>
        <v/>
      </c>
      <c r="R181" s="156"/>
    </row>
    <row r="182" spans="1:23" x14ac:dyDescent="0.35">
      <c r="A182" s="28" t="s">
        <v>210</v>
      </c>
      <c r="B182" s="4" t="s">
        <v>211</v>
      </c>
      <c r="C182" s="24">
        <v>1065</v>
      </c>
      <c r="D182" s="22">
        <v>1040</v>
      </c>
      <c r="E182" s="13">
        <v>775</v>
      </c>
      <c r="F182" s="27">
        <f>IF(D182=0,E182,IF(AND(E182=0,I182="A"),D182,IF(E182&gt;D182,E182, IF(E182/D182&gt;0.73,D182,E182))))</f>
        <v>1040</v>
      </c>
      <c r="G182" s="22">
        <v>20</v>
      </c>
      <c r="H182" s="26" t="s">
        <v>45</v>
      </c>
      <c r="I182" s="13"/>
      <c r="J182" s="13"/>
      <c r="K182" s="27">
        <f>IF(H182="",0,IF(J182&gt;0,0,IF(H182="A",G182,IF(H182="M",G182*12,IF(H182="W",G182*(Lookups!$B$9+1),IF(H182="B",G182*(+Lookups!$B$10),IF(H182="S",G182*2,IF(AND(G182=0,J182&gt;0),J182,"ERROR"))))))))</f>
        <v>1060</v>
      </c>
      <c r="L182" s="22">
        <v>20</v>
      </c>
      <c r="M182" s="26" t="s">
        <v>45</v>
      </c>
      <c r="N182" s="13"/>
      <c r="O182" s="27">
        <f>IF(L182="",0,IF(N182&gt;0,0,IF(M182="A",L182,IF(M182="M",L182*12,IF(M182="W",L182*Lookups!B$9,IF(M182="B",L182*+Lookups!B$10,IF(M182="S",L182*2,IF(AND(L182=0,N182&gt;0),N182,"ERROR"))))))))</f>
        <v>1040</v>
      </c>
      <c r="P182" s="170">
        <f t="shared" si="5"/>
        <v>-20</v>
      </c>
      <c r="Q182" s="171" t="str">
        <f>IF(AND(N182&gt;0,G182=0,L182=0),"X",IF(AND(N182&gt;0,G182&gt;0),"E",IF(P182="","",IF(P182=0,"S",IF(AND(P182&gt;0,NOT(G182=0)),"I",IF(AND(P182&gt;0,G182=0),"N",IF(P182&lt;0,"D","ERROR")))))))</f>
        <v>D</v>
      </c>
      <c r="R182" s="156"/>
      <c r="S182" s="69" t="s">
        <v>505</v>
      </c>
      <c r="T182" s="70" t="s">
        <v>506</v>
      </c>
      <c r="U182" s="70" t="s">
        <v>437</v>
      </c>
      <c r="V182" s="71" t="s">
        <v>414</v>
      </c>
      <c r="W182" s="72">
        <v>53405</v>
      </c>
    </row>
    <row r="183" spans="1:23" x14ac:dyDescent="0.35">
      <c r="A183" s="28" t="s">
        <v>355</v>
      </c>
      <c r="B183" s="4" t="s">
        <v>356</v>
      </c>
      <c r="C183" s="24">
        <v>130</v>
      </c>
      <c r="D183" s="22"/>
      <c r="E183" s="13">
        <v>100</v>
      </c>
      <c r="F183" s="27">
        <f>IF(D183=0,E183,IF(AND(E183=0,I183="A"),D183,IF(E183&gt;D183,E183, IF(E183/D183&gt;0.73,D183,E183))))</f>
        <v>100</v>
      </c>
      <c r="G183" s="22"/>
      <c r="H183" s="26"/>
      <c r="I183" s="13"/>
      <c r="J183" s="13"/>
      <c r="K183" s="27">
        <f>IF(H183="",0,IF(J183&gt;0,0,IF(H183="A",G183,IF(H183="M",G183*12,IF(H183="W",G183*(Lookups!$B$9+1),IF(H183="B",G183*(+Lookups!$B$10),IF(H183="S",G183*2,IF(AND(G183=0,J183&gt;0),J183,"ERROR"))))))))</f>
        <v>0</v>
      </c>
      <c r="L183" s="22"/>
      <c r="M183" s="26"/>
      <c r="N183" s="13"/>
      <c r="O183" s="27">
        <f>IF(L183="",0,IF(N183&gt;0,0,IF(M183="A",L183,IF(M183="M",L183*12,IF(M183="W",L183*Lookups!B$9,IF(M183="B",L183*+Lookups!B$10,IF(M183="S",L183*2,IF(AND(L183=0,N183&gt;0),N183,"ERROR"))))))))</f>
        <v>0</v>
      </c>
      <c r="P183" s="170" t="str">
        <f t="shared" si="5"/>
        <v/>
      </c>
      <c r="Q183" s="171" t="str">
        <f>IF(AND(N183&gt;0,G183=0,L183=0),"X",IF(AND(N183&gt;0,G183&gt;0),"E",IF(P183="","",IF(P183=0,"S",IF(AND(P183&gt;0,NOT(G183=0)),"I",IF(AND(P183&gt;0,G183=0),"N",IF(P183&lt;0,"D","ERROR")))))))</f>
        <v/>
      </c>
      <c r="R183" s="156"/>
    </row>
    <row r="184" spans="1:23" x14ac:dyDescent="0.35">
      <c r="A184" s="28" t="s">
        <v>212</v>
      </c>
      <c r="B184" s="4" t="s">
        <v>213</v>
      </c>
      <c r="C184" s="24">
        <v>1188</v>
      </c>
      <c r="D184" s="22">
        <v>1248</v>
      </c>
      <c r="E184" s="13">
        <v>884</v>
      </c>
      <c r="F184" s="27">
        <f>IF(D184=0,E184,IF(AND(E184=0,I184="A"),D184,IF(E184&gt;D184,E184, IF(E184/D184&gt;0.73,D184,E184))))</f>
        <v>884</v>
      </c>
      <c r="G184" s="22">
        <v>24</v>
      </c>
      <c r="H184" s="26" t="s">
        <v>45</v>
      </c>
      <c r="I184" s="13"/>
      <c r="J184" s="13"/>
      <c r="K184" s="27">
        <f>IF(H184="",0,IF(J184&gt;0,0,IF(H184="A",G184,IF(H184="M",G184*12,IF(H184="W",G184*(Lookups!$B$9+1),IF(H184="B",G184*(+Lookups!$B$10),IF(H184="S",G184*2,IF(AND(G184=0,J184&gt;0),J184,"ERROR"))))))))</f>
        <v>1272</v>
      </c>
      <c r="L184" s="22">
        <v>25</v>
      </c>
      <c r="M184" s="26" t="s">
        <v>45</v>
      </c>
      <c r="N184" s="13"/>
      <c r="O184" s="27">
        <f>IF(L184="",0,IF(N184&gt;0,0,IF(M184="A",L184,IF(M184="M",L184*12,IF(M184="W",L184*Lookups!B$9,IF(M184="B",L184*+Lookups!B$10,IF(M184="S",L184*2,IF(AND(L184=0,N184&gt;0),N184,"ERROR"))))))))</f>
        <v>1300</v>
      </c>
      <c r="P184" s="170">
        <f t="shared" si="5"/>
        <v>28</v>
      </c>
      <c r="Q184" s="171" t="str">
        <f>IF(AND(N184&gt;0,G184=0,L184=0),"X",IF(AND(N184&gt;0,G184&gt;0),"E",IF(P184="","",IF(P184=0,"S",IF(AND(P184&gt;0,NOT(G184=0)),"I",IF(AND(P184&gt;0,G184=0),"N",IF(P184&lt;0,"D","ERROR")))))))</f>
        <v>I</v>
      </c>
      <c r="R184" s="156"/>
      <c r="S184" s="69" t="s">
        <v>628</v>
      </c>
      <c r="T184" s="70" t="s">
        <v>629</v>
      </c>
      <c r="U184" s="70" t="s">
        <v>437</v>
      </c>
      <c r="V184" s="71" t="s">
        <v>414</v>
      </c>
      <c r="W184" s="72">
        <v>53404</v>
      </c>
    </row>
    <row r="185" spans="1:23" x14ac:dyDescent="0.35">
      <c r="A185" s="28" t="s">
        <v>357</v>
      </c>
      <c r="B185" s="4" t="s">
        <v>358</v>
      </c>
      <c r="C185" s="24">
        <v>2700</v>
      </c>
      <c r="D185" s="22"/>
      <c r="E185" s="13">
        <v>1800</v>
      </c>
      <c r="F185" s="27">
        <f>IF(D185=0,E185,IF(AND(E185=0,I185="A"),D185,IF(E185&gt;D185,E185, IF(E185/D185&gt;0.73,D185,E185))))</f>
        <v>1800</v>
      </c>
      <c r="G185" s="22"/>
      <c r="H185" s="26"/>
      <c r="I185" s="13"/>
      <c r="J185" s="13">
        <v>2000</v>
      </c>
      <c r="K185" s="27">
        <f>IF(H185="",0,IF(J185&gt;0,0,IF(H185="A",G185,IF(H185="M",G185*12,IF(H185="W",G185*(Lookups!$B$9+1),IF(H185="B",G185*(+Lookups!$B$10),IF(H185="S",G185*2,IF(AND(G185=0,J185&gt;0),J185,"ERROR"))))))))</f>
        <v>0</v>
      </c>
      <c r="L185" s="22"/>
      <c r="M185" s="26"/>
      <c r="N185" s="13"/>
      <c r="O185" s="27">
        <f>IF(L185="",0,IF(N185&gt;0,0,IF(M185="A",L185,IF(M185="M",L185*12,IF(M185="W",L185*Lookups!B$9,IF(M185="B",L185*+Lookups!B$10,IF(M185="S",L185*2,IF(AND(L185=0,N185&gt;0),N185,"ERROR"))))))))</f>
        <v>0</v>
      </c>
      <c r="P185" s="170" t="str">
        <f t="shared" si="5"/>
        <v/>
      </c>
      <c r="Q185" s="171" t="str">
        <f>IF(AND(N185&gt;0,G185=0,L185=0),"X",IF(AND(N185&gt;0,G185&gt;0),"E",IF(P185="","",IF(P185=0,"S",IF(AND(P185&gt;0,NOT(G185=0)),"I",IF(AND(P185&gt;0,G185=0),"N",IF(P185&lt;0,"D","ERROR")))))))</f>
        <v/>
      </c>
      <c r="R185" s="156"/>
    </row>
    <row r="186" spans="1:23" x14ac:dyDescent="0.35">
      <c r="A186" s="96" t="s">
        <v>214</v>
      </c>
      <c r="B186" s="97" t="s">
        <v>215</v>
      </c>
      <c r="C186" s="107">
        <v>195</v>
      </c>
      <c r="D186" s="99">
        <v>130</v>
      </c>
      <c r="E186" s="98">
        <v>30</v>
      </c>
      <c r="F186" s="100">
        <f>IF(D186=0,E186,IF(AND(E186=0,I186="A"),D186,IF(E186&gt;D186,E186, IF(E186/D186&gt;0.73,D186,E186))))</f>
        <v>30</v>
      </c>
      <c r="G186" s="99"/>
      <c r="H186" s="101" t="s">
        <v>45</v>
      </c>
      <c r="I186" s="98"/>
      <c r="J186" s="98"/>
      <c r="K186" s="27">
        <f>IF(H186="",0,IF(J186&gt;0,0,IF(H186="A",G186,IF(H186="M",G186*12,IF(H186="W",G186*(Lookups!$B$9+1),IF(H186="B",G186*(+Lookups!$B$10),IF(H186="S",G186*2,IF(AND(G186=0,J186&gt;0),J186,"ERROR"))))))))</f>
        <v>0</v>
      </c>
      <c r="L186" s="99"/>
      <c r="M186" s="101"/>
      <c r="N186" s="98"/>
      <c r="O186" s="27">
        <f>IF(L186="",0,IF(N186&gt;0,0,IF(M186="A",L186,IF(M186="M",L186*12,IF(M186="W",L186*Lookups!B$9,IF(M186="B",L186*+Lookups!B$10,IF(M186="S",L186*2,IF(AND(L186=0,N186&gt;0),N186,"ERROR"))))))))</f>
        <v>0</v>
      </c>
      <c r="P186" s="170" t="str">
        <f t="shared" si="5"/>
        <v/>
      </c>
      <c r="Q186" s="171" t="str">
        <f>IF(AND(N186&gt;0,G186=0,L186=0),"X",IF(AND(N186&gt;0,G186&gt;0),"E",IF(P186="","",IF(P186=0,"S",IF(AND(P186&gt;0,NOT(G186=0)),"I",IF(AND(P186&gt;0,G186=0),"N",IF(P186&lt;0,"D","ERROR")))))))</f>
        <v/>
      </c>
      <c r="R186" s="159"/>
      <c r="S186" s="104" t="s">
        <v>524</v>
      </c>
      <c r="T186" s="104"/>
      <c r="U186" s="104"/>
      <c r="V186" s="105"/>
      <c r="W186" s="106"/>
    </row>
    <row r="187" spans="1:23" x14ac:dyDescent="0.35">
      <c r="A187" s="28" t="s">
        <v>359</v>
      </c>
      <c r="B187" s="4" t="s">
        <v>360</v>
      </c>
      <c r="C187" s="24">
        <v>1200</v>
      </c>
      <c r="D187" s="22"/>
      <c r="E187" s="13">
        <v>1075</v>
      </c>
      <c r="F187" s="27">
        <f>IF(D187=0,E187,IF(AND(E187=0,I187="A"),D187,IF(E187&gt;D187,E187, IF(E187/D187&gt;0.73,D187,E187))))</f>
        <v>1075</v>
      </c>
      <c r="G187" s="22"/>
      <c r="H187" s="26"/>
      <c r="I187" s="13"/>
      <c r="J187" s="13">
        <v>1200</v>
      </c>
      <c r="K187" s="27">
        <f>IF(H187="",0,IF(J187&gt;0,0,IF(H187="A",G187,IF(H187="M",G187*12,IF(H187="W",G187*(Lookups!$B$9+1),IF(H187="B",G187*(+Lookups!$B$10),IF(H187="S",G187*2,IF(AND(G187=0,J187&gt;0),J187,"ERROR"))))))))</f>
        <v>0</v>
      </c>
      <c r="L187" s="22"/>
      <c r="M187" s="26"/>
      <c r="N187" s="13"/>
      <c r="O187" s="27">
        <f>IF(L187="",0,IF(N187&gt;0,0,IF(M187="A",L187,IF(M187="M",L187*12,IF(M187="W",L187*Lookups!B$9,IF(M187="B",L187*+Lookups!B$10,IF(M187="S",L187*2,IF(AND(L187=0,N187&gt;0),N187,"ERROR"))))))))</f>
        <v>0</v>
      </c>
      <c r="P187" s="170" t="str">
        <f t="shared" si="5"/>
        <v/>
      </c>
      <c r="Q187" s="171" t="str">
        <f>IF(AND(N187&gt;0,G187=0,L187=0),"X",IF(AND(N187&gt;0,G187&gt;0),"E",IF(P187="","",IF(P187=0,"S",IF(AND(P187&gt;0,NOT(G187=0)),"I",IF(AND(P187&gt;0,G187=0),"N",IF(P187&lt;0,"D","ERROR")))))))</f>
        <v/>
      </c>
      <c r="R187" s="156"/>
    </row>
    <row r="188" spans="1:23" x14ac:dyDescent="0.35">
      <c r="A188" s="28" t="s">
        <v>361</v>
      </c>
      <c r="B188" s="4" t="s">
        <v>177</v>
      </c>
      <c r="C188" s="24">
        <v>1400</v>
      </c>
      <c r="D188" s="22"/>
      <c r="E188" s="13"/>
      <c r="F188" s="27">
        <f>IF(D188=0,E188,IF(AND(E188=0,I188="A"),D188,IF(E188&gt;D188,E188, IF(E188/D188&gt;0.73,D188,E188))))</f>
        <v>0</v>
      </c>
      <c r="G188" s="22"/>
      <c r="H188" s="26"/>
      <c r="I188" s="13"/>
      <c r="J188" s="13"/>
      <c r="K188" s="27">
        <f>IF(H188="",0,IF(J188&gt;0,0,IF(H188="A",G188,IF(H188="M",G188*12,IF(H188="W",G188*(Lookups!$B$9+1),IF(H188="B",G188*(+Lookups!$B$10),IF(H188="S",G188*2,IF(AND(G188=0,J188&gt;0),J188,"ERROR"))))))))</f>
        <v>0</v>
      </c>
      <c r="L188" s="22"/>
      <c r="M188" s="26"/>
      <c r="N188" s="13"/>
      <c r="O188" s="27">
        <f>IF(L188="",0,IF(N188&gt;0,0,IF(M188="A",L188,IF(M188="M",L188*12,IF(M188="W",L188*Lookups!B$9,IF(M188="B",L188*+Lookups!B$10,IF(M188="S",L188*2,IF(AND(L188=0,N188&gt;0),N188,"ERROR"))))))))</f>
        <v>0</v>
      </c>
      <c r="P188" s="170" t="str">
        <f t="shared" si="5"/>
        <v/>
      </c>
      <c r="Q188" s="171" t="str">
        <f>IF(AND(N188&gt;0,G188=0,L188=0),"X",IF(AND(N188&gt;0,G188&gt;0),"E",IF(P188="","",IF(P188=0,"S",IF(AND(P188&gt;0,NOT(G188=0)),"I",IF(AND(P188&gt;0,G188=0),"N",IF(P188&lt;0,"D","ERROR")))))))</f>
        <v/>
      </c>
      <c r="R188" s="156"/>
    </row>
    <row r="189" spans="1:23" x14ac:dyDescent="0.35">
      <c r="A189" s="28" t="s">
        <v>362</v>
      </c>
      <c r="B189" s="4" t="s">
        <v>363</v>
      </c>
      <c r="C189" s="24">
        <v>110</v>
      </c>
      <c r="D189" s="22"/>
      <c r="E189" s="13">
        <v>60</v>
      </c>
      <c r="F189" s="27">
        <f>IF(D189=0,E189,IF(AND(E189=0,I189="A"),D189,IF(E189&gt;D189,E189, IF(E189/D189&gt;0.73,D189,E189))))</f>
        <v>60</v>
      </c>
      <c r="G189" s="22"/>
      <c r="H189" s="26"/>
      <c r="I189" s="13"/>
      <c r="J189" s="13"/>
      <c r="K189" s="27">
        <f>IF(H189="",0,IF(J189&gt;0,0,IF(H189="A",G189,IF(H189="M",G189*12,IF(H189="W",G189*(Lookups!$B$9+1),IF(H189="B",G189*(+Lookups!$B$10),IF(H189="S",G189*2,IF(AND(G189=0,J189&gt;0),J189,"ERROR"))))))))</f>
        <v>0</v>
      </c>
      <c r="L189" s="22"/>
      <c r="M189" s="26"/>
      <c r="N189" s="13"/>
      <c r="O189" s="27">
        <f>IF(L189="",0,IF(N189&gt;0,0,IF(M189="A",L189,IF(M189="M",L189*12,IF(M189="W",L189*Lookups!B$9,IF(M189="B",L189*+Lookups!B$10,IF(M189="S",L189*2,IF(AND(L189=0,N189&gt;0),N189,"ERROR"))))))))</f>
        <v>0</v>
      </c>
      <c r="P189" s="170" t="str">
        <f t="shared" si="5"/>
        <v/>
      </c>
      <c r="Q189" s="171" t="str">
        <f>IF(AND(N189&gt;0,G189=0,L189=0),"X",IF(AND(N189&gt;0,G189&gt;0),"E",IF(P189="","",IF(P189=0,"S",IF(AND(P189&gt;0,NOT(G189=0)),"I",IF(AND(P189&gt;0,G189=0),"N",IF(P189&lt;0,"D","ERROR")))))))</f>
        <v/>
      </c>
      <c r="R189" s="156"/>
    </row>
    <row r="190" spans="1:23" x14ac:dyDescent="0.35">
      <c r="A190" s="28" t="s">
        <v>216</v>
      </c>
      <c r="B190" s="4" t="s">
        <v>217</v>
      </c>
      <c r="C190" s="24">
        <v>2600</v>
      </c>
      <c r="D190" s="22">
        <v>2912</v>
      </c>
      <c r="E190" s="13">
        <v>2184</v>
      </c>
      <c r="F190" s="27">
        <f>IF(D190=0,E190,IF(AND(E190=0,I190="A"),D190,IF(E190&gt;D190,E190, IF(E190/D190&gt;0.73,D190,E190))))</f>
        <v>2912</v>
      </c>
      <c r="G190" s="22">
        <v>260</v>
      </c>
      <c r="H190" s="26" t="s">
        <v>46</v>
      </c>
      <c r="I190" s="13"/>
      <c r="J190" s="13"/>
      <c r="K190" s="27">
        <f>IF(H190="",0,IF(J190&gt;0,0,IF(H190="A",G190,IF(H190="M",G190*12,IF(H190="W",G190*(Lookups!$B$9+1),IF(H190="B",G190*(+Lookups!$B$10),IF(H190="S",G190*2,IF(AND(G190=0,J190&gt;0),J190,"ERROR"))))))))</f>
        <v>3120</v>
      </c>
      <c r="L190" s="22"/>
      <c r="M190" s="26"/>
      <c r="N190" s="13"/>
      <c r="O190" s="27">
        <f>IF(L190="",0,IF(N190&gt;0,0,IF(M190="A",L190,IF(M190="M",L190*12,IF(M190="W",L190*Lookups!B$9,IF(M190="B",L190*+Lookups!B$10,IF(M190="S",L190*2,IF(AND(L190=0,N190&gt;0),N190,"ERROR"))))))))</f>
        <v>0</v>
      </c>
      <c r="P190" s="170">
        <f t="shared" si="5"/>
        <v>-3120</v>
      </c>
      <c r="Q190" s="171" t="str">
        <f>IF(AND(N190&gt;0,G190=0,L190=0),"X",IF(AND(N190&gt;0,G190&gt;0),"E",IF(P190="","",IF(P190=0,"S",IF(AND(P190&gt;0,NOT(G190=0)),"I",IF(AND(P190&gt;0,G190=0),"N",IF(P190&lt;0,"D","ERROR")))))))</f>
        <v>D</v>
      </c>
      <c r="R190" s="156"/>
      <c r="S190" s="69" t="s">
        <v>508</v>
      </c>
      <c r="T190" s="70" t="s">
        <v>509</v>
      </c>
      <c r="U190" s="70" t="s">
        <v>437</v>
      </c>
      <c r="V190" s="71" t="s">
        <v>414</v>
      </c>
      <c r="W190" s="72">
        <v>53405</v>
      </c>
    </row>
    <row r="191" spans="1:23" x14ac:dyDescent="0.35">
      <c r="A191" s="28" t="s">
        <v>218</v>
      </c>
      <c r="B191" s="4" t="s">
        <v>219</v>
      </c>
      <c r="C191" s="24">
        <v>1620</v>
      </c>
      <c r="D191" s="22">
        <v>1680</v>
      </c>
      <c r="E191" s="13">
        <v>1260</v>
      </c>
      <c r="F191" s="27">
        <f>IF(D191=0,E191,IF(AND(E191=0,I191="A"),D191,IF(E191&gt;D191,E191, IF(E191/D191&gt;0.73,D191,E191))))</f>
        <v>1680</v>
      </c>
      <c r="G191" s="22">
        <v>140</v>
      </c>
      <c r="H191" s="26" t="s">
        <v>46</v>
      </c>
      <c r="I191" s="13"/>
      <c r="J191" s="13"/>
      <c r="K191" s="27">
        <f>IF(H191="",0,IF(J191&gt;0,0,IF(H191="A",G191,IF(H191="M",G191*12,IF(H191="W",G191*(Lookups!$B$9+1),IF(H191="B",G191*(+Lookups!$B$10),IF(H191="S",G191*2,IF(AND(G191=0,J191&gt;0),J191,"ERROR"))))))))</f>
        <v>1680</v>
      </c>
      <c r="L191" s="22">
        <v>145</v>
      </c>
      <c r="M191" s="26" t="s">
        <v>46</v>
      </c>
      <c r="N191" s="13"/>
      <c r="O191" s="27">
        <f>IF(L191="",0,IF(N191&gt;0,0,IF(M191="A",L191,IF(M191="M",L191*12,IF(M191="W",L191*Lookups!B$9,IF(M191="B",L191*+Lookups!B$10,IF(M191="S",L191*2,IF(AND(L191=0,N191&gt;0),N191,"ERROR"))))))))</f>
        <v>1740</v>
      </c>
      <c r="P191" s="170">
        <f t="shared" si="5"/>
        <v>60</v>
      </c>
      <c r="Q191" s="171" t="str">
        <f>IF(AND(N191&gt;0,G191=0,L191=0),"X",IF(AND(N191&gt;0,G191&gt;0),"E",IF(P191="","",IF(P191=0,"S",IF(AND(P191&gt;0,NOT(G191=0)),"I",IF(AND(P191&gt;0,G191=0),"N",IF(P191&lt;0,"D","ERROR")))))))</f>
        <v>I</v>
      </c>
      <c r="R191" s="156"/>
      <c r="T191" s="70" t="s">
        <v>630</v>
      </c>
      <c r="U191" s="70" t="s">
        <v>437</v>
      </c>
      <c r="V191" s="71" t="s">
        <v>414</v>
      </c>
      <c r="W191" s="72">
        <v>53402</v>
      </c>
    </row>
    <row r="192" spans="1:23" x14ac:dyDescent="0.35">
      <c r="A192" s="28" t="s">
        <v>220</v>
      </c>
      <c r="B192" s="4" t="s">
        <v>22</v>
      </c>
      <c r="C192" s="24">
        <v>16900</v>
      </c>
      <c r="D192" s="22">
        <v>17750</v>
      </c>
      <c r="E192" s="13"/>
      <c r="F192" s="27"/>
      <c r="G192" s="22"/>
      <c r="H192" s="26" t="s">
        <v>42</v>
      </c>
      <c r="I192" s="13"/>
      <c r="J192" s="13">
        <v>17000</v>
      </c>
      <c r="K192" s="27">
        <f>IF(H192="",0,IF(J192&gt;0,0,IF(H192="A",G192,IF(H192="M",G192*12,IF(H192="W",G192*(Lookups!$B$9+1),IF(H192="B",G192*(+Lookups!$B$10),IF(H192="S",G192*2,IF(AND(G192=0,J192&gt;0),J192,"ERROR"))))))))</f>
        <v>0</v>
      </c>
      <c r="L192" s="22">
        <v>10000</v>
      </c>
      <c r="M192" s="26" t="s">
        <v>42</v>
      </c>
      <c r="N192" s="13"/>
      <c r="O192" s="27">
        <f>IF(L192="",0,IF(N192&gt;0,0,IF(M192="A",L192,IF(M192="M",L192*12,IF(M192="W",L192*Lookups!B$9,IF(M192="B",L192*+Lookups!B$10,IF(M192="S",L192*2,IF(AND(L192=0,N192&gt;0),N192,"ERROR"))))))))</f>
        <v>10000</v>
      </c>
      <c r="P192" s="170">
        <f t="shared" si="5"/>
        <v>10000</v>
      </c>
      <c r="Q192" s="171" t="str">
        <f>IF(AND(N192&gt;0,G192=0,L192=0),"X",IF(AND(N192&gt;0,G192&gt;0),"E",IF(P192="","",IF(P192=0,"S",IF(AND(P192&gt;0,NOT(G192=0)),"I",IF(AND(P192&gt;0,G192=0),"N",IF(P192&lt;0,"D","ERROR")))))))</f>
        <v>N</v>
      </c>
      <c r="R192" s="156"/>
      <c r="S192" s="69" t="s">
        <v>631</v>
      </c>
      <c r="T192" s="70" t="s">
        <v>632</v>
      </c>
      <c r="U192" s="70" t="s">
        <v>582</v>
      </c>
      <c r="V192" s="71" t="s">
        <v>414</v>
      </c>
      <c r="W192" s="72">
        <v>53406</v>
      </c>
    </row>
    <row r="193" spans="1:23" x14ac:dyDescent="0.35">
      <c r="A193" s="28" t="s">
        <v>221</v>
      </c>
      <c r="B193" s="4" t="s">
        <v>395</v>
      </c>
      <c r="C193" s="24"/>
      <c r="D193" s="22"/>
      <c r="E193" s="13">
        <v>15</v>
      </c>
      <c r="F193" s="27">
        <f>IF(D193=0,E193,IF(AND(E193=0,I193="A"),D193,IF(E193&gt;D193,E193, IF(E193/D193&gt;0.73,D193,E193))))</f>
        <v>15</v>
      </c>
      <c r="G193" s="22"/>
      <c r="H193" s="26"/>
      <c r="I193" s="13"/>
      <c r="J193" s="13"/>
      <c r="K193" s="27">
        <f>IF(H193="",0,IF(J193&gt;0,0,IF(H193="A",G193,IF(H193="M",G193*12,IF(H193="W",G193*(Lookups!$B$9+1),IF(H193="B",G193*(+Lookups!$B$10),IF(H193="S",G193*2,IF(AND(G193=0,J193&gt;0),J193,"ERROR"))))))))</f>
        <v>0</v>
      </c>
      <c r="L193" s="22"/>
      <c r="M193" s="26"/>
      <c r="N193" s="13"/>
      <c r="O193" s="27">
        <f>IF(L193="",0,IF(N193&gt;0,0,IF(M193="A",L193,IF(M193="M",L193*12,IF(M193="W",L193*Lookups!B$9,IF(M193="B",L193*+Lookups!B$10,IF(M193="S",L193*2,IF(AND(L193=0,N193&gt;0),N193,"ERROR"))))))))</f>
        <v>0</v>
      </c>
      <c r="P193" s="170" t="str">
        <f t="shared" si="5"/>
        <v/>
      </c>
      <c r="Q193" s="171" t="str">
        <f>IF(AND(N193&gt;0,G193=0,L193=0),"X",IF(AND(N193&gt;0,G193&gt;0),"E",IF(P193="","",IF(P193=0,"S",IF(AND(P193&gt;0,NOT(G193=0)),"I",IF(AND(P193&gt;0,G193=0),"N",IF(P193&lt;0,"D","ERROR")))))))</f>
        <v/>
      </c>
      <c r="R193" s="156"/>
    </row>
    <row r="194" spans="1:23" x14ac:dyDescent="0.35">
      <c r="A194" s="28" t="s">
        <v>221</v>
      </c>
      <c r="B194" s="4" t="s">
        <v>222</v>
      </c>
      <c r="C194" s="24">
        <v>1500</v>
      </c>
      <c r="D194" s="22">
        <v>1500</v>
      </c>
      <c r="E194" s="13">
        <v>1000</v>
      </c>
      <c r="F194" s="27">
        <f>IF(D194=0,E194,IF(AND(E194=0,I194="A"),D194,IF(E194&gt;D194,E194, IF(E194/D194&gt;0.73,D194,E194))))</f>
        <v>1000</v>
      </c>
      <c r="G194" s="22"/>
      <c r="H194" s="26" t="s">
        <v>46</v>
      </c>
      <c r="I194" s="13"/>
      <c r="J194" s="13">
        <v>1000</v>
      </c>
      <c r="K194" s="27">
        <f>IF(H194="",0,IF(J194&gt;0,0,IF(H194="A",G194,IF(H194="M",G194*12,IF(H194="W",G194*(Lookups!$B$9+1),IF(H194="B",G194*(+Lookups!$B$10),IF(H194="S",G194*2,IF(AND(G194=0,J194&gt;0),J194,"ERROR"))))))))</f>
        <v>0</v>
      </c>
      <c r="L194" s="22"/>
      <c r="M194" s="26"/>
      <c r="N194" s="13"/>
      <c r="O194" s="27">
        <f>IF(L194="",0,IF(N194&gt;0,0,IF(M194="A",L194,IF(M194="M",L194*12,IF(M194="W",L194*Lookups!B$9,IF(M194="B",L194*+Lookups!B$10,IF(M194="S",L194*2,IF(AND(L194=0,N194&gt;0),N194,"ERROR"))))))))</f>
        <v>0</v>
      </c>
      <c r="P194" s="170" t="str">
        <f t="shared" si="5"/>
        <v/>
      </c>
      <c r="Q194" s="171" t="str">
        <f>IF(AND(N194&gt;0,G194=0,L194=0),"X",IF(AND(N194&gt;0,G194&gt;0),"E",IF(P194="","",IF(P194=0,"S",IF(AND(P194&gt;0,NOT(G194=0)),"I",IF(AND(P194&gt;0,G194=0),"N",IF(P194&lt;0,"D","ERROR")))))))</f>
        <v/>
      </c>
      <c r="R194" s="156"/>
    </row>
    <row r="195" spans="1:23" x14ac:dyDescent="0.35">
      <c r="A195" s="28" t="s">
        <v>221</v>
      </c>
      <c r="B195" s="4" t="s">
        <v>396</v>
      </c>
      <c r="C195" s="24"/>
      <c r="D195" s="22"/>
      <c r="E195" s="13">
        <v>5</v>
      </c>
      <c r="F195" s="27">
        <f>IF(D195=0,E195,IF(AND(E195=0,I195="A"),D195,IF(E195&gt;D195,E195, IF(E195/D195&gt;0.73,D195,E195))))</f>
        <v>5</v>
      </c>
      <c r="G195" s="22"/>
      <c r="H195" s="26"/>
      <c r="I195" s="13"/>
      <c r="J195" s="13"/>
      <c r="K195" s="27">
        <f>IF(H195="",0,IF(J195&gt;0,0,IF(H195="A",G195,IF(H195="M",G195*12,IF(H195="W",G195*(Lookups!$B$9+1),IF(H195="B",G195*(+Lookups!$B$10),IF(H195="S",G195*2,IF(AND(G195=0,J195&gt;0),J195,"ERROR"))))))))</f>
        <v>0</v>
      </c>
      <c r="L195" s="22"/>
      <c r="M195" s="26"/>
      <c r="N195" s="13"/>
      <c r="O195" s="27">
        <f>IF(L195="",0,IF(N195&gt;0,0,IF(M195="A",L195,IF(M195="M",L195*12,IF(M195="W",L195*Lookups!B$9,IF(M195="B",L195*+Lookups!B$10,IF(M195="S",L195*2,IF(AND(L195=0,N195&gt;0),N195,"ERROR"))))))))</f>
        <v>0</v>
      </c>
      <c r="P195" s="170" t="str">
        <f t="shared" si="5"/>
        <v/>
      </c>
      <c r="Q195" s="171" t="str">
        <f>IF(AND(N195&gt;0,G195=0,L195=0),"X",IF(AND(N195&gt;0,G195&gt;0),"E",IF(P195="","",IF(P195=0,"S",IF(AND(P195&gt;0,NOT(G195=0)),"I",IF(AND(P195&gt;0,G195=0),"N",IF(P195&lt;0,"D","ERROR")))))))</f>
        <v/>
      </c>
      <c r="R195" s="156"/>
    </row>
    <row r="196" spans="1:23" x14ac:dyDescent="0.35">
      <c r="A196" s="28" t="s">
        <v>364</v>
      </c>
      <c r="B196" s="4" t="s">
        <v>365</v>
      </c>
      <c r="C196" s="24">
        <v>50</v>
      </c>
      <c r="D196" s="22"/>
      <c r="E196" s="13"/>
      <c r="F196" s="27">
        <f>IF(D196=0,E196,IF(AND(E196=0,I196="A"),D196,IF(E196&gt;D196,E196, IF(E196/D196&gt;0.73,D196,E196))))</f>
        <v>0</v>
      </c>
      <c r="G196" s="22"/>
      <c r="H196" s="26"/>
      <c r="I196" s="13"/>
      <c r="J196" s="13"/>
      <c r="K196" s="27">
        <f>IF(H196="",0,IF(J196&gt;0,0,IF(H196="A",G196,IF(H196="M",G196*12,IF(H196="W",G196*(Lookups!$B$9+1),IF(H196="B",G196*(+Lookups!$B$10),IF(H196="S",G196*2,IF(AND(G196=0,J196&gt;0),J196,"ERROR"))))))))</f>
        <v>0</v>
      </c>
      <c r="L196" s="22"/>
      <c r="M196" s="26"/>
      <c r="N196" s="13"/>
      <c r="O196" s="27">
        <f>IF(L196="",0,IF(N196&gt;0,0,IF(M196="A",L196,IF(M196="M",L196*12,IF(M196="W",L196*Lookups!B$9,IF(M196="B",L196*+Lookups!B$10,IF(M196="S",L196*2,IF(AND(L196=0,N196&gt;0),N196,"ERROR"))))))))</f>
        <v>0</v>
      </c>
      <c r="P196" s="170" t="str">
        <f t="shared" si="5"/>
        <v/>
      </c>
      <c r="Q196" s="171" t="str">
        <f>IF(AND(N196&gt;0,G196=0,L196=0),"X",IF(AND(N196&gt;0,G196&gt;0),"E",IF(P196="","",IF(P196=0,"S",IF(AND(P196&gt;0,NOT(G196=0)),"I",IF(AND(P196&gt;0,G196=0),"N",IF(P196&lt;0,"D","ERROR")))))))</f>
        <v/>
      </c>
      <c r="R196" s="156"/>
    </row>
    <row r="197" spans="1:23" x14ac:dyDescent="0.35">
      <c r="A197" s="28" t="s">
        <v>223</v>
      </c>
      <c r="B197" s="4" t="s">
        <v>224</v>
      </c>
      <c r="C197" s="24">
        <v>1060</v>
      </c>
      <c r="D197" s="22">
        <v>1040</v>
      </c>
      <c r="E197" s="13">
        <v>780</v>
      </c>
      <c r="F197" s="27">
        <f>IF(D197=0,E197,IF(AND(E197=0,I197="A"),D197,IF(E197&gt;D197,E197, IF(E197/D197&gt;0.73,D197,E197))))</f>
        <v>1040</v>
      </c>
      <c r="G197" s="22">
        <v>20</v>
      </c>
      <c r="H197" s="26" t="s">
        <v>45</v>
      </c>
      <c r="I197" s="13"/>
      <c r="J197" s="13"/>
      <c r="K197" s="27">
        <f>IF(H197="",0,IF(J197&gt;0,0,IF(H197="A",G197,IF(H197="M",G197*12,IF(H197="W",G197*(Lookups!$B$9+1),IF(H197="B",G197*(+Lookups!$B$10),IF(H197="S",G197*2,IF(AND(G197=0,J197&gt;0),J197,"ERROR"))))))))</f>
        <v>1060</v>
      </c>
      <c r="L197" s="22">
        <v>20</v>
      </c>
      <c r="M197" s="26" t="s">
        <v>45</v>
      </c>
      <c r="N197" s="13"/>
      <c r="O197" s="27">
        <f>IF(L197="",0,IF(N197&gt;0,0,IF(M197="A",L197,IF(M197="M",L197*12,IF(M197="W",L197*Lookups!B$9,IF(M197="B",L197*+Lookups!B$10,IF(M197="S",L197*2,IF(AND(L197=0,N197&gt;0),N197,"ERROR"))))))))</f>
        <v>1040</v>
      </c>
      <c r="P197" s="170">
        <f t="shared" si="5"/>
        <v>-20</v>
      </c>
      <c r="Q197" s="171" t="str">
        <f>IF(AND(N197&gt;0,G197=0,L197=0),"X",IF(AND(N197&gt;0,G197&gt;0),"E",IF(P197="","",IF(P197=0,"S",IF(AND(P197&gt;0,NOT(G197=0)),"I",IF(AND(P197&gt;0,G197=0),"N",IF(P197&lt;0,"D","ERROR")))))))</f>
        <v>D</v>
      </c>
      <c r="R197" s="156"/>
      <c r="S197" s="69" t="s">
        <v>633</v>
      </c>
      <c r="T197" s="70" t="s">
        <v>634</v>
      </c>
      <c r="U197" s="70" t="s">
        <v>582</v>
      </c>
      <c r="V197" s="71" t="s">
        <v>414</v>
      </c>
      <c r="W197" s="72">
        <v>53406</v>
      </c>
    </row>
    <row r="198" spans="1:23" x14ac:dyDescent="0.35">
      <c r="A198" s="28" t="s">
        <v>225</v>
      </c>
      <c r="B198" s="4" t="s">
        <v>226</v>
      </c>
      <c r="C198" s="24">
        <v>1500</v>
      </c>
      <c r="D198" s="22">
        <v>1500</v>
      </c>
      <c r="E198" s="13">
        <v>1155</v>
      </c>
      <c r="F198" s="27">
        <f>IF(D198=0,E198,IF(AND(E198=0,I198="A"),D198,IF(E198&gt;D198,E198, IF(E198/D198&gt;0.73,D198,E198))))</f>
        <v>1500</v>
      </c>
      <c r="G198" s="22">
        <v>125</v>
      </c>
      <c r="H198" s="26" t="s">
        <v>46</v>
      </c>
      <c r="I198" s="13"/>
      <c r="J198" s="13"/>
      <c r="K198" s="27">
        <f>IF(H198="",0,IF(J198&gt;0,0,IF(H198="A",G198,IF(H198="M",G198*12,IF(H198="W",G198*(Lookups!$B$9+1),IF(H198="B",G198*(+Lookups!$B$10),IF(H198="S",G198*2,IF(AND(G198=0,J198&gt;0),J198,"ERROR"))))))))</f>
        <v>1500</v>
      </c>
      <c r="L198" s="22"/>
      <c r="M198" s="26"/>
      <c r="N198" s="13"/>
      <c r="O198" s="27">
        <f>IF(L198="",0,IF(N198&gt;0,0,IF(M198="A",L198,IF(M198="M",L198*12,IF(M198="W",L198*Lookups!B$9,IF(M198="B",L198*+Lookups!B$10,IF(M198="S",L198*2,IF(AND(L198=0,N198&gt;0),N198,"ERROR"))))))))</f>
        <v>0</v>
      </c>
      <c r="P198" s="170">
        <f t="shared" si="5"/>
        <v>-1500</v>
      </c>
      <c r="Q198" s="171" t="str">
        <f>IF(AND(N198&gt;0,G198=0,L198=0),"X",IF(AND(N198&gt;0,G198&gt;0),"E",IF(P198="","",IF(P198=0,"S",IF(AND(P198&gt;0,NOT(G198=0)),"I",IF(AND(P198&gt;0,G198=0),"N",IF(P198&lt;0,"D","ERROR")))))))</f>
        <v>D</v>
      </c>
      <c r="R198" s="156"/>
    </row>
    <row r="199" spans="1:23" x14ac:dyDescent="0.35">
      <c r="A199" s="28" t="s">
        <v>227</v>
      </c>
      <c r="B199" s="4" t="s">
        <v>228</v>
      </c>
      <c r="C199" s="24">
        <v>5100</v>
      </c>
      <c r="D199" s="22">
        <v>5100</v>
      </c>
      <c r="E199" s="13">
        <v>3825</v>
      </c>
      <c r="F199" s="27">
        <f>IF(D199=0,E199,IF(AND(E199=0,I199="A"),D199,IF(E199&gt;D199,E199, IF(E199/D199&gt;0.73,D199,E199))))</f>
        <v>5100</v>
      </c>
      <c r="G199" s="22"/>
      <c r="H199" s="26" t="s">
        <v>46</v>
      </c>
      <c r="I199" s="13"/>
      <c r="J199" s="13">
        <v>5100</v>
      </c>
      <c r="K199" s="27">
        <f>IF(H199="",0,IF(J199&gt;0,0,IF(H199="A",G199,IF(H199="M",G199*12,IF(H199="W",G199*(Lookups!$B$9+1),IF(H199="B",G199*(+Lookups!$B$10),IF(H199="S",G199*2,IF(AND(G199=0,J199&gt;0),J199,"ERROR"))))))))</f>
        <v>0</v>
      </c>
      <c r="L199" s="22">
        <v>425</v>
      </c>
      <c r="M199" s="26" t="s">
        <v>46</v>
      </c>
      <c r="N199" s="13"/>
      <c r="O199" s="27">
        <f>IF(L199="",0,IF(N199&gt;0,0,IF(M199="A",L199,IF(M199="M",L199*12,IF(M199="W",L199*Lookups!B$9,IF(M199="B",L199*+Lookups!B$10,IF(M199="S",L199*2,IF(AND(L199=0,N199&gt;0),N199,"ERROR"))))))))</f>
        <v>5100</v>
      </c>
      <c r="P199" s="170">
        <f t="shared" si="5"/>
        <v>5100</v>
      </c>
      <c r="Q199" s="171" t="str">
        <f>IF(AND(N199&gt;0,G199=0,L199=0),"X",IF(AND(N199&gt;0,G199&gt;0),"E",IF(P199="","",IF(P199=0,"S",IF(AND(P199&gt;0,NOT(G199=0)),"I",IF(AND(P199&gt;0,G199=0),"N",IF(P199&lt;0,"D","ERROR")))))))</f>
        <v>N</v>
      </c>
      <c r="R199" s="156"/>
      <c r="S199" s="69" t="s">
        <v>635</v>
      </c>
      <c r="T199" s="70" t="s">
        <v>636</v>
      </c>
      <c r="U199" s="70" t="s">
        <v>437</v>
      </c>
      <c r="V199" s="71" t="s">
        <v>414</v>
      </c>
      <c r="W199" s="72">
        <v>53402</v>
      </c>
    </row>
    <row r="200" spans="1:23" x14ac:dyDescent="0.35">
      <c r="A200" s="28" t="s">
        <v>229</v>
      </c>
      <c r="B200" s="4" t="s">
        <v>226</v>
      </c>
      <c r="C200" s="24">
        <v>1104</v>
      </c>
      <c r="D200" s="22">
        <v>1128</v>
      </c>
      <c r="E200" s="13">
        <v>846</v>
      </c>
      <c r="F200" s="27">
        <f>IF(D200=0,E200,IF(AND(E200=0,I200="A"),D200,IF(E200&gt;D200,E200, IF(E200/D200&gt;0.73,D200,E200))))</f>
        <v>1128</v>
      </c>
      <c r="G200" s="22"/>
      <c r="H200" s="26" t="s">
        <v>46</v>
      </c>
      <c r="I200" s="13"/>
      <c r="J200" s="13">
        <v>1000</v>
      </c>
      <c r="K200" s="27">
        <f>IF(H200="",0,IF(J200&gt;0,0,IF(H200="A",G200,IF(H200="M",G200*12,IF(H200="W",G200*(Lookups!$B$9+1),IF(H200="B",G200*(+Lookups!$B$10),IF(H200="S",G200*2,IF(AND(G200=0,J200&gt;0),J200,"ERROR"))))))))</f>
        <v>0</v>
      </c>
      <c r="L200" s="22">
        <v>95</v>
      </c>
      <c r="M200" s="26" t="s">
        <v>46</v>
      </c>
      <c r="N200" s="13"/>
      <c r="O200" s="27">
        <f>IF(L200="",0,IF(N200&gt;0,0,IF(M200="A",L200,IF(M200="M",L200*12,IF(M200="W",L200*Lookups!B$9,IF(M200="B",L200*+Lookups!B$10,IF(M200="S",L200*2,IF(AND(L200=0,N200&gt;0),N200,"ERROR"))))))))</f>
        <v>1140</v>
      </c>
      <c r="P200" s="170">
        <f t="shared" ref="P200:P214" si="6">IF(AND(O200=0,G200=0),"",IF(N200&gt;0,"",ROUND(+O200-K200,0)))</f>
        <v>1140</v>
      </c>
      <c r="Q200" s="171" t="str">
        <f>IF(AND(N200&gt;0,G200=0,L200=0),"X",IF(AND(N200&gt;0,G200&gt;0),"E",IF(P200="","",IF(P200=0,"S",IF(AND(P200&gt;0,NOT(G200=0)),"I",IF(AND(P200&gt;0,G200=0),"N",IF(P200&lt;0,"D","ERROR")))))))</f>
        <v>N</v>
      </c>
      <c r="R200" s="156"/>
      <c r="S200" s="69" t="s">
        <v>637</v>
      </c>
      <c r="T200" s="70" t="s">
        <v>638</v>
      </c>
      <c r="U200" s="70" t="s">
        <v>437</v>
      </c>
      <c r="V200" s="71" t="s">
        <v>414</v>
      </c>
      <c r="W200" s="72">
        <v>53402</v>
      </c>
    </row>
    <row r="201" spans="1:23" x14ac:dyDescent="0.35">
      <c r="A201" s="87" t="s">
        <v>230</v>
      </c>
      <c r="B201" s="88" t="s">
        <v>231</v>
      </c>
      <c r="C201" s="108">
        <v>5400</v>
      </c>
      <c r="D201" s="90">
        <v>5400</v>
      </c>
      <c r="E201" s="89">
        <v>4050</v>
      </c>
      <c r="F201" s="91">
        <f>IF(D201=0,E201,IF(AND(E201=0,I201="A"),D201,IF(E201&gt;D201,E201, IF(E201/D201&gt;0.73,D201,E201))))</f>
        <v>5400</v>
      </c>
      <c r="G201" s="90"/>
      <c r="H201" s="92" t="s">
        <v>46</v>
      </c>
      <c r="I201" s="89"/>
      <c r="J201" s="89">
        <v>5400</v>
      </c>
      <c r="K201" s="27">
        <f>IF(H201="",0,IF(J201&gt;0,0,IF(H201="A",G201,IF(H201="M",G201*12,IF(H201="W",G201*(Lookups!$B$9+1),IF(H201="B",G201*(+Lookups!$B$10),IF(H201="S",G201*2,IF(AND(G201=0,J201&gt;0),J201,"ERROR"))))))))</f>
        <v>0</v>
      </c>
      <c r="L201" s="90"/>
      <c r="M201" s="92"/>
      <c r="N201" s="89"/>
      <c r="O201" s="27">
        <f>IF(L201="",0,IF(N201&gt;0,0,IF(M201="A",L201,IF(M201="M",L201*12,IF(M201="W",L201*Lookups!B$9,IF(M201="B",L201*+Lookups!B$10,IF(M201="S",L201*2,IF(AND(L201=0,N201&gt;0),N201,"ERROR"))))))))</f>
        <v>0</v>
      </c>
      <c r="P201" s="170" t="str">
        <f t="shared" si="6"/>
        <v/>
      </c>
      <c r="Q201" s="171" t="str">
        <f>IF(AND(N201&gt;0,G201=0,L201=0),"X",IF(AND(N201&gt;0,G201&gt;0),"E",IF(P201="","",IF(P201=0,"S",IF(AND(P201&gt;0,NOT(G201=0)),"I",IF(AND(P201&gt;0,G201=0),"N",IF(P201&lt;0,"D","ERROR")))))))</f>
        <v/>
      </c>
      <c r="R201" s="158"/>
      <c r="S201" s="93"/>
      <c r="T201" s="93"/>
      <c r="U201" s="93"/>
      <c r="V201" s="94"/>
      <c r="W201" s="95"/>
    </row>
    <row r="202" spans="1:23" x14ac:dyDescent="0.35">
      <c r="A202" s="96" t="s">
        <v>366</v>
      </c>
      <c r="B202" s="97" t="s">
        <v>367</v>
      </c>
      <c r="C202" s="107">
        <v>5500</v>
      </c>
      <c r="D202" s="99"/>
      <c r="E202" s="98">
        <v>100</v>
      </c>
      <c r="F202" s="100">
        <f>IF(D202=0,E202,IF(AND(E202=0,I202="A"),D202,IF(E202&gt;D202,E202, IF(E202/D202&gt;0.73,D202,E202))))</f>
        <v>100</v>
      </c>
      <c r="G202" s="99"/>
      <c r="H202" s="101"/>
      <c r="I202" s="98"/>
      <c r="J202" s="98"/>
      <c r="K202" s="100">
        <f>IF(H202="",0,IF(J202&gt;0,0,IF(H202="A",G202,IF(H202="M",G202*12,IF(H202="W",G202*(Lookups!$B$9+1),IF(H202="B",G202*(+Lookups!$B$10),IF(H202="S",G202*2,IF(AND(G202=0,J202&gt;0),J202,"ERROR"))))))))</f>
        <v>0</v>
      </c>
      <c r="L202" s="99"/>
      <c r="M202" s="101"/>
      <c r="N202" s="98"/>
      <c r="O202" s="100">
        <f>IF(L202="",0,IF(N202&gt;0,0,IF(M202="A",L202,IF(M202="M",L202*12,IF(M202="W",L202*Lookups!B$9,IF(M202="B",L202*+Lookups!B$10,IF(M202="S",L202*2,IF(AND(L202=0,N202&gt;0),N202,"ERROR"))))))))</f>
        <v>0</v>
      </c>
      <c r="P202" s="102" t="str">
        <f t="shared" si="6"/>
        <v/>
      </c>
      <c r="Q202" s="103" t="str">
        <f>IF(AND(N202&gt;0,G202=0,L202=0),"X",IF(AND(N202&gt;0,G202&gt;0),"E",IF(P202="","",IF(P202=0,"S",IF(AND(P202&gt;0,NOT(G202=0)),"I",IF(AND(P202&gt;0,G202=0),"N",IF(P202&lt;0,"D","ERROR")))))))</f>
        <v/>
      </c>
      <c r="R202" s="159"/>
      <c r="S202" s="104" t="s">
        <v>521</v>
      </c>
      <c r="T202" s="104"/>
      <c r="U202" s="104"/>
      <c r="V202" s="105"/>
      <c r="W202" s="106"/>
    </row>
    <row r="203" spans="1:23" x14ac:dyDescent="0.35">
      <c r="A203" s="28" t="s">
        <v>232</v>
      </c>
      <c r="B203" s="4" t="s">
        <v>233</v>
      </c>
      <c r="C203" s="24">
        <v>2080</v>
      </c>
      <c r="D203" s="22">
        <v>2600</v>
      </c>
      <c r="E203" s="13">
        <v>1440</v>
      </c>
      <c r="F203" s="27">
        <f>IF(D203=0,E203,IF(AND(E203=0,I203="A"),D203,IF(E203&gt;D203,E203, IF(E203/D203&gt;0.73,D203,E203))))</f>
        <v>1440</v>
      </c>
      <c r="G203" s="22">
        <v>50</v>
      </c>
      <c r="H203" s="26" t="s">
        <v>45</v>
      </c>
      <c r="I203" s="13"/>
      <c r="J203" s="13"/>
      <c r="K203" s="27">
        <f>IF(H203="",0,IF(J203&gt;0,0,IF(H203="A",G203,IF(H203="M",G203*12,IF(H203="W",G203*(Lookups!$B$9+1),IF(H203="B",G203*(+Lookups!$B$10),IF(H203="S",G203*2,IF(AND(G203=0,J203&gt;0),J203,"ERROR"))))))))</f>
        <v>2650</v>
      </c>
      <c r="L203" s="22"/>
      <c r="M203" s="26"/>
      <c r="N203" s="13"/>
      <c r="O203" s="27">
        <f>IF(L203="",0,IF(N203&gt;0,0,IF(M203="A",L203,IF(M203="M",L203*12,IF(M203="W",L203*Lookups!B$9,IF(M203="B",L203*+Lookups!B$10,IF(M203="S",L203*2,IF(AND(L203=0,N203&gt;0),N203,"ERROR"))))))))</f>
        <v>0</v>
      </c>
      <c r="P203" s="170">
        <f t="shared" si="6"/>
        <v>-2650</v>
      </c>
      <c r="Q203" s="171" t="str">
        <f>IF(AND(N203&gt;0,G203=0,L203=0),"X",IF(AND(N203&gt;0,G203&gt;0),"E",IF(P203="","",IF(P203=0,"S",IF(AND(P203&gt;0,NOT(G203=0)),"I",IF(AND(P203&gt;0,G203=0),"N",IF(P203&lt;0,"D","ERROR")))))))</f>
        <v>D</v>
      </c>
      <c r="R203" s="156"/>
      <c r="S203" s="69" t="s">
        <v>510</v>
      </c>
      <c r="T203" s="70" t="s">
        <v>511</v>
      </c>
      <c r="U203" s="70" t="s">
        <v>413</v>
      </c>
      <c r="V203" s="71" t="s">
        <v>414</v>
      </c>
      <c r="W203" s="72">
        <v>53406</v>
      </c>
    </row>
    <row r="204" spans="1:23" x14ac:dyDescent="0.35">
      <c r="A204" s="28" t="s">
        <v>368</v>
      </c>
      <c r="B204" s="4" t="s">
        <v>369</v>
      </c>
      <c r="C204" s="24">
        <v>1200</v>
      </c>
      <c r="D204" s="22"/>
      <c r="E204" s="13"/>
      <c r="F204" s="27">
        <f>IF(D204=0,E204,IF(AND(E204=0,I204="A"),D204,IF(E204&gt;D204,E204, IF(E204/D204&gt;0.73,D204,E204))))</f>
        <v>0</v>
      </c>
      <c r="G204" s="22"/>
      <c r="H204" s="26"/>
      <c r="I204" s="13"/>
      <c r="J204" s="13"/>
      <c r="K204" s="27">
        <f>IF(H204="",0,IF(J204&gt;0,0,IF(H204="A",G204,IF(H204="M",G204*12,IF(H204="W",G204*(Lookups!$B$9+1),IF(H204="B",G204*(+Lookups!$B$10),IF(H204="S",G204*2,IF(AND(G204=0,J204&gt;0),J204,"ERROR"))))))))</f>
        <v>0</v>
      </c>
      <c r="L204" s="22"/>
      <c r="M204" s="26"/>
      <c r="N204" s="13"/>
      <c r="O204" s="27">
        <f>IF(L204="",0,IF(N204&gt;0,0,IF(M204="A",L204,IF(M204="M",L204*12,IF(M204="W",L204*Lookups!B$9,IF(M204="B",L204*+Lookups!B$10,IF(M204="S",L204*2,IF(AND(L204=0,N204&gt;0),N204,"ERROR"))))))))</f>
        <v>0</v>
      </c>
      <c r="P204" s="170" t="str">
        <f t="shared" si="6"/>
        <v/>
      </c>
      <c r="Q204" s="171" t="str">
        <f>IF(AND(N204&gt;0,G204=0,L204=0),"X",IF(AND(N204&gt;0,G204&gt;0),"E",IF(P204="","",IF(P204=0,"S",IF(AND(P204&gt;0,NOT(G204=0)),"I",IF(AND(P204&gt;0,G204=0),"N",IF(P204&lt;0,"D","ERROR")))))))</f>
        <v/>
      </c>
      <c r="R204" s="156"/>
    </row>
    <row r="205" spans="1:23" x14ac:dyDescent="0.35">
      <c r="A205" s="28" t="s">
        <v>234</v>
      </c>
      <c r="B205" s="4" t="s">
        <v>235</v>
      </c>
      <c r="C205" s="24">
        <v>3965</v>
      </c>
      <c r="D205" s="22">
        <v>4160</v>
      </c>
      <c r="E205" s="13">
        <v>3040</v>
      </c>
      <c r="F205" s="27">
        <f>IF(D205=0,E205,IF(AND(E205=0,I205="A"),D205,IF(E205&gt;D205,E205, IF(E205/D205&gt;0.73,D205,E205))))</f>
        <v>4160</v>
      </c>
      <c r="G205" s="22">
        <v>80</v>
      </c>
      <c r="H205" s="26" t="s">
        <v>45</v>
      </c>
      <c r="I205" s="13"/>
      <c r="J205" s="13"/>
      <c r="K205" s="27">
        <f>IF(H205="",0,IF(J205&gt;0,0,IF(H205="A",G205,IF(H205="M",G205*12,IF(H205="W",G205*(Lookups!$B$9+1),IF(H205="B",G205*(+Lookups!$B$10),IF(H205="S",G205*2,IF(AND(G205=0,J205&gt;0),J205,"ERROR"))))))))</f>
        <v>4240</v>
      </c>
      <c r="L205" s="22">
        <v>80</v>
      </c>
      <c r="M205" s="26" t="s">
        <v>45</v>
      </c>
      <c r="N205" s="13"/>
      <c r="O205" s="27">
        <f>IF(L205="",0,IF(N205&gt;0,0,IF(M205="A",L205,IF(M205="M",L205*12,IF(M205="W",L205*Lookups!B$9,IF(M205="B",L205*+Lookups!B$10,IF(M205="S",L205*2,IF(AND(L205=0,N205&gt;0),N205,"ERROR"))))))))</f>
        <v>4160</v>
      </c>
      <c r="P205" s="170">
        <f t="shared" si="6"/>
        <v>-80</v>
      </c>
      <c r="Q205" s="171" t="str">
        <f>IF(AND(N205&gt;0,G205=0,L205=0),"X",IF(AND(N205&gt;0,G205&gt;0),"E",IF(P205="","",IF(P205=0,"S",IF(AND(P205&gt;0,NOT(G205=0)),"I",IF(AND(P205&gt;0,G205=0),"N",IF(P205&lt;0,"D","ERROR")))))))</f>
        <v>D</v>
      </c>
      <c r="R205" s="156"/>
      <c r="T205" s="75" t="s">
        <v>512</v>
      </c>
      <c r="U205" s="70" t="s">
        <v>437</v>
      </c>
      <c r="V205" s="71" t="s">
        <v>414</v>
      </c>
      <c r="W205" s="72">
        <v>53403</v>
      </c>
    </row>
    <row r="206" spans="1:23" x14ac:dyDescent="0.35">
      <c r="A206" s="96" t="s">
        <v>234</v>
      </c>
      <c r="B206" s="97" t="s">
        <v>370</v>
      </c>
      <c r="C206" s="107">
        <v>2650</v>
      </c>
      <c r="D206" s="99"/>
      <c r="E206" s="98">
        <v>1250</v>
      </c>
      <c r="F206" s="100">
        <f>IF(D206=0,E206,IF(AND(E206=0,I206="A"),D206,IF(E206&gt;D206,E206, IF(E206/D206&gt;0.73,D206,E206))))</f>
        <v>1250</v>
      </c>
      <c r="G206" s="99"/>
      <c r="H206" s="101"/>
      <c r="I206" s="98"/>
      <c r="J206" s="98"/>
      <c r="K206" s="100">
        <f>IF(H206="",0,IF(J206&gt;0,0,IF(H206="A",G206,IF(H206="M",G206*12,IF(H206="W",G206*(Lookups!$B$9+1),IF(H206="B",G206*(+Lookups!$B$10),IF(H206="S",G206*2,IF(AND(G206=0,J206&gt;0),J206,"ERROR"))))))))</f>
        <v>0</v>
      </c>
      <c r="L206" s="99"/>
      <c r="M206" s="101"/>
      <c r="N206" s="98"/>
      <c r="O206" s="100">
        <f>IF(L206="",0,IF(N206&gt;0,0,IF(M206="A",L206,IF(M206="M",L206*12,IF(M206="W",L206*Lookups!B$9,IF(M206="B",L206*+Lookups!B$10,IF(M206="S",L206*2,IF(AND(L206=0,N206&gt;0),N206,"ERROR"))))))))</f>
        <v>0</v>
      </c>
      <c r="P206" s="102" t="str">
        <f t="shared" si="6"/>
        <v/>
      </c>
      <c r="Q206" s="103" t="str">
        <f>IF(AND(N206&gt;0,G206=0,L206=0),"X",IF(AND(N206&gt;0,G206&gt;0),"E",IF(P206="","",IF(P206=0,"S",IF(AND(P206&gt;0,NOT(G206=0)),"I",IF(AND(P206&gt;0,G206=0),"N",IF(P206&lt;0,"D","ERROR")))))))</f>
        <v/>
      </c>
      <c r="R206" s="159"/>
      <c r="S206" s="104" t="s">
        <v>521</v>
      </c>
      <c r="T206" s="104"/>
      <c r="U206" s="104"/>
      <c r="V206" s="105"/>
      <c r="W206" s="106"/>
    </row>
    <row r="207" spans="1:23" x14ac:dyDescent="0.35">
      <c r="A207" s="28" t="s">
        <v>236</v>
      </c>
      <c r="B207" s="4" t="s">
        <v>237</v>
      </c>
      <c r="C207" s="24">
        <v>5500</v>
      </c>
      <c r="D207" s="22">
        <v>5500</v>
      </c>
      <c r="E207" s="13">
        <v>4500</v>
      </c>
      <c r="F207" s="27">
        <f>IF(D207=0,E207,IF(AND(E207=0,I207="A"),D207,IF(E207&gt;D207,E207, IF(E207/D207&gt;0.73,D207,E207))))</f>
        <v>5500</v>
      </c>
      <c r="G207" s="22">
        <v>5500</v>
      </c>
      <c r="H207" s="26" t="s">
        <v>42</v>
      </c>
      <c r="I207" s="13"/>
      <c r="J207" s="13"/>
      <c r="K207" s="27">
        <f>IF(H207="",0,IF(J207&gt;0,0,IF(H207="A",G207,IF(H207="M",G207*12,IF(H207="W",G207*(Lookups!$B$9+1),IF(H207="B",G207*(+Lookups!$B$10),IF(H207="S",G207*2,IF(AND(G207=0,J207&gt;0),J207,"ERROR"))))))))</f>
        <v>5500</v>
      </c>
      <c r="L207" s="22"/>
      <c r="M207" s="26"/>
      <c r="N207" s="13"/>
      <c r="O207" s="27">
        <f>IF(L207="",0,IF(N207&gt;0,0,IF(M207="A",L207,IF(M207="M",L207*12,IF(M207="W",L207*Lookups!B$9,IF(M207="B",L207*+Lookups!B$10,IF(M207="S",L207*2,IF(AND(L207=0,N207&gt;0),N207,"ERROR"))))))))</f>
        <v>0</v>
      </c>
      <c r="P207" s="170">
        <f t="shared" si="6"/>
        <v>-5500</v>
      </c>
      <c r="Q207" s="171" t="str">
        <f>IF(AND(N207&gt;0,G207=0,L207=0),"X",IF(AND(N207&gt;0,G207&gt;0),"E",IF(P207="","",IF(P207=0,"S",IF(AND(P207&gt;0,NOT(G207=0)),"I",IF(AND(P207&gt;0,G207=0),"N",IF(P207&lt;0,"D","ERROR")))))))</f>
        <v>D</v>
      </c>
      <c r="R207" s="156"/>
    </row>
    <row r="208" spans="1:23" x14ac:dyDescent="0.35">
      <c r="A208" s="28" t="s">
        <v>238</v>
      </c>
      <c r="B208" s="4" t="s">
        <v>239</v>
      </c>
      <c r="C208" s="24">
        <v>735</v>
      </c>
      <c r="D208" s="22">
        <v>780</v>
      </c>
      <c r="E208" s="13">
        <v>585</v>
      </c>
      <c r="F208" s="27">
        <f>IF(D208=0,E208,IF(AND(E208=0,I208="A"),D208,IF(E208&gt;D208,E208, IF(E208/D208&gt;0.73,D208,E208))))</f>
        <v>780</v>
      </c>
      <c r="G208" s="22">
        <v>65</v>
      </c>
      <c r="H208" s="26" t="s">
        <v>46</v>
      </c>
      <c r="I208" s="13"/>
      <c r="J208" s="13"/>
      <c r="K208" s="27">
        <f>IF(H208="",0,IF(J208&gt;0,0,IF(H208="A",G208,IF(H208="M",G208*12,IF(H208="W",G208*(Lookups!$B$9+1),IF(H208="B",G208*(+Lookups!$B$10),IF(H208="S",G208*2,IF(AND(G208=0,J208&gt;0),J208,"ERROR"))))))))</f>
        <v>780</v>
      </c>
      <c r="L208" s="22">
        <v>75</v>
      </c>
      <c r="M208" s="26" t="s">
        <v>46</v>
      </c>
      <c r="N208" s="13"/>
      <c r="O208" s="27">
        <f>IF(L208="",0,IF(N208&gt;0,0,IF(M208="A",L208,IF(M208="M",L208*12,IF(M208="W",L208*Lookups!B$9,IF(M208="B",L208*+Lookups!B$10,IF(M208="S",L208*2,IF(AND(L208=0,N208&gt;0),N208,"ERROR"))))))))</f>
        <v>900</v>
      </c>
      <c r="P208" s="170">
        <f t="shared" si="6"/>
        <v>120</v>
      </c>
      <c r="Q208" s="171" t="str">
        <f>IF(AND(N208&gt;0,G208=0,L208=0),"X",IF(AND(N208&gt;0,G208&gt;0),"E",IF(P208="","",IF(P208=0,"S",IF(AND(P208&gt;0,NOT(G208=0)),"I",IF(AND(P208&gt;0,G208=0),"N",IF(P208&lt;0,"D","ERROR")))))))</f>
        <v>I</v>
      </c>
      <c r="R208" s="156"/>
      <c r="S208" s="69" t="s">
        <v>513</v>
      </c>
      <c r="T208" s="70" t="s">
        <v>514</v>
      </c>
      <c r="U208" s="70" t="s">
        <v>437</v>
      </c>
      <c r="V208" s="71" t="s">
        <v>414</v>
      </c>
      <c r="W208" s="72">
        <v>53405</v>
      </c>
    </row>
    <row r="209" spans="1:23" x14ac:dyDescent="0.35">
      <c r="A209" s="28" t="s">
        <v>371</v>
      </c>
      <c r="B209" s="4" t="s">
        <v>26</v>
      </c>
      <c r="C209" s="24">
        <v>50</v>
      </c>
      <c r="D209" s="22"/>
      <c r="E209" s="13">
        <v>100</v>
      </c>
      <c r="F209" s="27">
        <f>IF(D209=0,E209,IF(AND(E209=0,I209="A"),D209,IF(E209&gt;D209,E209, IF(E209/D209&gt;0.73,D209,E209))))</f>
        <v>100</v>
      </c>
      <c r="G209" s="22"/>
      <c r="H209" s="26"/>
      <c r="I209" s="13"/>
      <c r="J209" s="13"/>
      <c r="K209" s="27">
        <f>IF(H209="",0,IF(J209&gt;0,0,IF(H209="A",G209,IF(H209="M",G209*12,IF(H209="W",G209*(Lookups!$B$9+1),IF(H209="B",G209*(+Lookups!$B$10),IF(H209="S",G209*2,IF(AND(G209=0,J209&gt;0),J209,"ERROR"))))))))</f>
        <v>0</v>
      </c>
      <c r="L209" s="22"/>
      <c r="M209" s="26"/>
      <c r="N209" s="13"/>
      <c r="O209" s="27">
        <f>IF(L209="",0,IF(N209&gt;0,0,IF(M209="A",L209,IF(M209="M",L209*12,IF(M209="W",L209*Lookups!B$9,IF(M209="B",L209*+Lookups!B$10,IF(M209="S",L209*2,IF(AND(L209=0,N209&gt;0),N209,"ERROR"))))))))</f>
        <v>0</v>
      </c>
      <c r="P209" s="170" t="str">
        <f t="shared" si="6"/>
        <v/>
      </c>
      <c r="Q209" s="171" t="str">
        <f>IF(AND(N209&gt;0,G209=0,L209=0),"X",IF(AND(N209&gt;0,G209&gt;0),"E",IF(P209="","",IF(P209=0,"S",IF(AND(P209&gt;0,NOT(G209=0)),"I",IF(AND(P209&gt;0,G209=0),"N",IF(P209&lt;0,"D","ERROR")))))))</f>
        <v/>
      </c>
      <c r="R209" s="156"/>
    </row>
    <row r="210" spans="1:23" x14ac:dyDescent="0.35">
      <c r="A210" s="28" t="s">
        <v>240</v>
      </c>
      <c r="B210" s="4" t="s">
        <v>241</v>
      </c>
      <c r="C210" s="24">
        <v>4160</v>
      </c>
      <c r="D210" s="22">
        <v>8320</v>
      </c>
      <c r="E210" s="13">
        <v>6080</v>
      </c>
      <c r="F210" s="27">
        <f>IF(D210=0,E210,IF(AND(E210=0,I210="A"),D210,IF(E210&gt;D210,E210, IF(E210/D210&gt;0.73,D210,E210))))</f>
        <v>8320</v>
      </c>
      <c r="G210" s="22">
        <v>160</v>
      </c>
      <c r="H210" s="26" t="s">
        <v>45</v>
      </c>
      <c r="I210" s="13"/>
      <c r="J210" s="13"/>
      <c r="K210" s="27">
        <f>IF(H210="",0,IF(J210&gt;0,0,IF(H210="A",G210,IF(H210="M",G210*12,IF(H210="W",G210*(Lookups!$B$9+1),IF(H210="B",G210*(+Lookups!$B$10),IF(H210="S",G210*2,IF(AND(G210=0,J210&gt;0),J210,"ERROR"))))))))</f>
        <v>8480</v>
      </c>
      <c r="L210" s="22"/>
      <c r="M210" s="26"/>
      <c r="N210" s="13"/>
      <c r="O210" s="27">
        <f>IF(L210="",0,IF(N210&gt;0,0,IF(M210="A",L210,IF(M210="M",L210*12,IF(M210="W",L210*Lookups!B$9,IF(M210="B",L210*+Lookups!B$10,IF(M210="S",L210*2,IF(AND(L210=0,N210&gt;0),N210,"ERROR"))))))))</f>
        <v>0</v>
      </c>
      <c r="P210" s="170">
        <f t="shared" si="6"/>
        <v>-8480</v>
      </c>
      <c r="Q210" s="171" t="str">
        <f>IF(AND(N210&gt;0,G210=0,L210=0),"X",IF(AND(N210&gt;0,G210&gt;0),"E",IF(P210="","",IF(P210=0,"S",IF(AND(P210&gt;0,NOT(G210=0)),"I",IF(AND(P210&gt;0,G210=0),"N",IF(P210&lt;0,"D","ERROR")))))))</f>
        <v>D</v>
      </c>
      <c r="R210" s="156"/>
      <c r="T210" s="75"/>
    </row>
    <row r="211" spans="1:23" x14ac:dyDescent="0.35">
      <c r="A211" s="28" t="s">
        <v>372</v>
      </c>
      <c r="B211" s="4" t="s">
        <v>29</v>
      </c>
      <c r="C211" s="24">
        <v>250</v>
      </c>
      <c r="D211" s="22"/>
      <c r="E211" s="13">
        <v>100</v>
      </c>
      <c r="F211" s="27">
        <f>IF(D211=0,E211,IF(AND(E211=0,I211="A"),D211,IF(E211&gt;D211,E211, IF(E211/D211&gt;0.73,D211,E211))))</f>
        <v>100</v>
      </c>
      <c r="G211" s="22"/>
      <c r="H211" s="26"/>
      <c r="I211" s="13"/>
      <c r="J211" s="13"/>
      <c r="K211" s="27">
        <f>IF(H211="",0,IF(J211&gt;0,0,IF(H211="A",G211,IF(H211="M",G211*12,IF(H211="W",G211*(Lookups!$B$9+1),IF(H211="B",G211*(+Lookups!$B$10),IF(H211="S",G211*2,IF(AND(G211=0,J211&gt;0),J211,"ERROR"))))))))</f>
        <v>0</v>
      </c>
      <c r="L211" s="22"/>
      <c r="M211" s="26"/>
      <c r="N211" s="13"/>
      <c r="O211" s="27">
        <f>IF(L211="",0,IF(N211&gt;0,0,IF(M211="A",L211,IF(M211="M",L211*12,IF(M211="W",L211*Lookups!B$9,IF(M211="B",L211*+Lookups!B$10,IF(M211="S",L211*2,IF(AND(L211=0,N211&gt;0),N211,"ERROR"))))))))</f>
        <v>0</v>
      </c>
      <c r="P211" s="170" t="str">
        <f t="shared" si="6"/>
        <v/>
      </c>
      <c r="Q211" s="171" t="str">
        <f>IF(AND(N211&gt;0,G211=0,L211=0),"X",IF(AND(N211&gt;0,G211&gt;0),"E",IF(P211="","",IF(P211=0,"S",IF(AND(P211&gt;0,NOT(G211=0)),"I",IF(AND(P211&gt;0,G211=0),"N",IF(P211&lt;0,"D","ERROR")))))))</f>
        <v/>
      </c>
      <c r="R211" s="156"/>
    </row>
    <row r="212" spans="1:23" x14ac:dyDescent="0.35">
      <c r="A212" s="28" t="s">
        <v>373</v>
      </c>
      <c r="B212" s="4" t="s">
        <v>374</v>
      </c>
      <c r="C212" s="24">
        <v>1525</v>
      </c>
      <c r="D212" s="22"/>
      <c r="E212" s="13">
        <v>1125</v>
      </c>
      <c r="F212" s="27">
        <f>IF(D212=0,E212,IF(AND(E212=0,I212="A"),D212,IF(E212&gt;D212,E212, IF(E212/D212&gt;0.73,D212,E212))))</f>
        <v>1125</v>
      </c>
      <c r="G212" s="22">
        <v>2000</v>
      </c>
      <c r="H212" s="26" t="s">
        <v>42</v>
      </c>
      <c r="I212" s="13"/>
      <c r="J212" s="13"/>
      <c r="K212" s="27">
        <f>IF(H212="",0,IF(J212&gt;0,0,IF(H212="A",G212,IF(H212="M",G212*12,IF(H212="W",G212*(Lookups!$B$9+1),IF(H212="B",G212*(+Lookups!$B$10),IF(H212="S",G212*2,IF(AND(G212=0,J212&gt;0),J212,"ERROR"))))))))</f>
        <v>2000</v>
      </c>
      <c r="L212" s="22">
        <v>2100</v>
      </c>
      <c r="M212" s="26" t="s">
        <v>42</v>
      </c>
      <c r="N212" s="13"/>
      <c r="O212" s="27">
        <f>IF(L212="",0,IF(N212&gt;0,0,IF(M212="A",L212,IF(M212="M",L212*12,IF(M212="W",L212*Lookups!B$9,IF(M212="B",L212*+Lookups!B$10,IF(M212="S",L212*2,IF(AND(L212=0,N212&gt;0),N212,"ERROR"))))))))</f>
        <v>2100</v>
      </c>
      <c r="P212" s="170">
        <f t="shared" si="6"/>
        <v>100</v>
      </c>
      <c r="Q212" s="171" t="str">
        <f>IF(AND(N212&gt;0,G212=0,L212=0),"X",IF(AND(N212&gt;0,G212&gt;0),"E",IF(P212="","",IF(P212=0,"S",IF(AND(P212&gt;0,NOT(G212=0)),"I",IF(AND(P212&gt;0,G212=0),"N",IF(P212&lt;0,"D","ERROR")))))))</f>
        <v>I</v>
      </c>
      <c r="R212" s="156"/>
      <c r="S212" s="69" t="s">
        <v>515</v>
      </c>
    </row>
    <row r="213" spans="1:23" x14ac:dyDescent="0.35">
      <c r="A213" s="96" t="s">
        <v>242</v>
      </c>
      <c r="B213" s="97" t="s">
        <v>243</v>
      </c>
      <c r="C213" s="107">
        <v>800</v>
      </c>
      <c r="D213" s="99">
        <v>800</v>
      </c>
      <c r="E213" s="98">
        <v>800</v>
      </c>
      <c r="F213" s="100">
        <f>IF(D213=0,E213,IF(AND(E213=0,I213="A"),D213,IF(E213&gt;D213,E213, IF(E213/D213&gt;0.73,D213,E213))))</f>
        <v>800</v>
      </c>
      <c r="G213" s="99"/>
      <c r="H213" s="101" t="s">
        <v>42</v>
      </c>
      <c r="I213" s="98"/>
      <c r="J213" s="98"/>
      <c r="K213" s="27">
        <f>IF(H213="",0,IF(J213&gt;0,0,IF(H213="A",G213,IF(H213="M",G213*12,IF(H213="W",G213*(Lookups!$B$9+1),IF(H213="B",G213*(+Lookups!$B$10),IF(H213="S",G213*2,IF(AND(G213=0,J213&gt;0),J213,"ERROR"))))))))</f>
        <v>0</v>
      </c>
      <c r="L213" s="99"/>
      <c r="M213" s="101"/>
      <c r="N213" s="98"/>
      <c r="O213" s="27">
        <f>IF(L213="",0,IF(N213&gt;0,0,IF(M213="A",L213,IF(M213="M",L213*12,IF(M213="W",L213*Lookups!B$9,IF(M213="B",L213*+Lookups!B$10,IF(M213="S",L213*2,IF(AND(L213=0,N213&gt;0),N213,"ERROR"))))))))</f>
        <v>0</v>
      </c>
      <c r="P213" s="170" t="str">
        <f t="shared" si="6"/>
        <v/>
      </c>
      <c r="Q213" s="171" t="str">
        <f>IF(AND(N213&gt;0,G213=0,L213=0),"X",IF(AND(N213&gt;0,G213&gt;0),"E",IF(P213="","",IF(P213=0,"S",IF(AND(P213&gt;0,NOT(G213=0)),"I",IF(AND(P213&gt;0,G213=0),"N",IF(P213&lt;0,"D","ERROR")))))))</f>
        <v/>
      </c>
      <c r="R213" s="159"/>
      <c r="S213" s="104" t="s">
        <v>529</v>
      </c>
      <c r="T213" s="104"/>
      <c r="U213" s="104"/>
      <c r="V213" s="105"/>
      <c r="W213" s="106"/>
    </row>
    <row r="214" spans="1:23" x14ac:dyDescent="0.35">
      <c r="A214" s="28"/>
      <c r="B214" s="4"/>
      <c r="C214" s="24"/>
      <c r="D214" s="22"/>
      <c r="E214" s="13"/>
      <c r="F214" s="27">
        <f>IF(D214=0,E214,IF(AND(E214=0,I214="A"),D214,IF(E214&gt;D214,E214, IF(E214/D214&gt;0.73,D214,E214))))</f>
        <v>0</v>
      </c>
      <c r="G214" s="22"/>
      <c r="H214" s="26"/>
      <c r="I214" s="13"/>
      <c r="J214" s="26"/>
      <c r="K214" s="27">
        <f>IF(H214="",0,IF(J214&gt;0,0,IF(H214="A",G214,IF(H214="M",G214*12,IF(H214="W",G214*(Lookups!$B$9+1),IF(H214="B",G214*(+Lookups!$B$10),IF(H214="S",G214*2,IF(AND(G214=0,J214&gt;0),J214,"ERROR"))))))))</f>
        <v>0</v>
      </c>
      <c r="L214" s="22"/>
      <c r="M214" s="26"/>
      <c r="N214" s="26"/>
      <c r="O214" s="27">
        <f>IF(L214="",0,IF(N214&gt;0,0,IF(M214="A",L214,IF(M214="M",L214*12,IF(M214="W",L214*Lookups!B$9,IF(M214="B",L214*+Lookups!B$10,IF(M214="S",L214*2,IF(AND(L214=0,N214&gt;0),N214,"ERROR"))))))))</f>
        <v>0</v>
      </c>
      <c r="P214" s="170" t="str">
        <f t="shared" si="6"/>
        <v/>
      </c>
      <c r="Q214" s="171" t="str">
        <f>IF(AND(N214&gt;0,G214=0,L214=0),"X",IF(AND(N214&gt;0,G214&gt;0),"E",IF(P214="","",IF(P214=0,"S",IF(AND(P214&gt;0,NOT(G214=0)),"I",IF(AND(P214&gt;0,G214=0),"N",IF(P214&lt;0,"D","ERROR")))))))</f>
        <v/>
      </c>
      <c r="R214" s="156"/>
    </row>
    <row r="215" spans="1:23" ht="15" thickBot="1" x14ac:dyDescent="0.4">
      <c r="A215" s="23" t="s">
        <v>43</v>
      </c>
      <c r="B215" s="11"/>
      <c r="C215" s="25">
        <f>SUM(C4:C214)</f>
        <v>452163.64</v>
      </c>
      <c r="D215" s="23">
        <f>SUM(D4:D214)</f>
        <v>369897.8</v>
      </c>
      <c r="E215" s="10">
        <f>SUM(E4:E214)</f>
        <v>335208.75</v>
      </c>
      <c r="F215" s="11">
        <f>SUM(F4:F214)</f>
        <v>381271.55</v>
      </c>
      <c r="G215" s="23">
        <f>SUM(G4:G214)</f>
        <v>125910.75</v>
      </c>
      <c r="H215" s="10"/>
      <c r="I215" s="10">
        <f>SUM(I4:I214)</f>
        <v>0</v>
      </c>
      <c r="J215" s="10">
        <f>SUM(J4:J214)</f>
        <v>86870</v>
      </c>
      <c r="K215" s="11">
        <f>SUM(K4:K214)</f>
        <v>306703.75</v>
      </c>
      <c r="L215" s="23">
        <f>SUM(L4:L214)</f>
        <v>122755</v>
      </c>
      <c r="M215" s="10"/>
      <c r="N215" s="10">
        <f>SUM(N4:N214)</f>
        <v>100</v>
      </c>
      <c r="O215" s="11">
        <f>SUM(O4:O214)</f>
        <v>257000</v>
      </c>
      <c r="P215" s="172">
        <f>SUM(P4:P214)</f>
        <v>-49704</v>
      </c>
      <c r="Q215" s="173"/>
      <c r="R215" s="112"/>
    </row>
    <row r="216" spans="1:23" x14ac:dyDescent="0.35">
      <c r="A216" s="1" t="s">
        <v>47</v>
      </c>
      <c r="K216" s="1">
        <v>306704</v>
      </c>
    </row>
    <row r="217" spans="1:23" x14ac:dyDescent="0.35">
      <c r="A217" s="1" t="str">
        <f>"**  S=Same, D= Decrease, I=Increase, N=New, E=Esimate (Pledged in "&amp;G2&amp;" but not in "&amp;L2&amp;"), X=Esimate does not pledge but gave in "&amp;G2</f>
        <v>**  S=Same, D= Decrease, I=Increase, N=New, E=Esimate (Pledged in 2023 but not in 2024), X=Esimate does not pledge but gave in 2023</v>
      </c>
    </row>
  </sheetData>
  <mergeCells count="8">
    <mergeCell ref="A1:Q1"/>
    <mergeCell ref="C2:C3"/>
    <mergeCell ref="A2:B2"/>
    <mergeCell ref="P2:Q2"/>
    <mergeCell ref="L2:O2"/>
    <mergeCell ref="G2:K2"/>
    <mergeCell ref="D2:F2"/>
    <mergeCell ref="R2:W2"/>
  </mergeCells>
  <hyperlinks>
    <hyperlink ref="S137" r:id="rId1"/>
    <hyperlink ref="S10" r:id="rId2"/>
    <hyperlink ref="S8" r:id="rId3"/>
    <hyperlink ref="S12" r:id="rId4"/>
    <hyperlink ref="S14" r:id="rId5"/>
    <hyperlink ref="S16" r:id="rId6"/>
    <hyperlink ref="S17" r:id="rId7"/>
    <hyperlink ref="S20" r:id="rId8"/>
    <hyperlink ref="S24" r:id="rId9"/>
    <hyperlink ref="S29" r:id="rId10"/>
    <hyperlink ref="S31" r:id="rId11"/>
    <hyperlink ref="S36" r:id="rId12"/>
    <hyperlink ref="S45" r:id="rId13"/>
    <hyperlink ref="S54" r:id="rId14"/>
    <hyperlink ref="S59" r:id="rId15"/>
    <hyperlink ref="S60" r:id="rId16"/>
    <hyperlink ref="S67" r:id="rId17"/>
    <hyperlink ref="S68" r:id="rId18"/>
    <hyperlink ref="S69" r:id="rId19" display="sandra.georgeson@yahoo.com"/>
    <hyperlink ref="S70" r:id="rId20"/>
    <hyperlink ref="S79" r:id="rId21"/>
    <hyperlink ref="S83" r:id="rId22"/>
    <hyperlink ref="S86" r:id="rId23"/>
    <hyperlink ref="S87" r:id="rId24"/>
    <hyperlink ref="S88" r:id="rId25" display="dubar@att.net"/>
    <hyperlink ref="S91" r:id="rId26"/>
    <hyperlink ref="S101" r:id="rId27" display="jkiemen1942@gmail.com"/>
    <hyperlink ref="S115" r:id="rId28"/>
    <hyperlink ref="S125" r:id="rId29"/>
    <hyperlink ref="S126" r:id="rId30"/>
    <hyperlink ref="S128" r:id="rId31"/>
    <hyperlink ref="S129" r:id="rId32"/>
    <hyperlink ref="S132" r:id="rId33"/>
    <hyperlink ref="S140" r:id="rId34"/>
    <hyperlink ref="S141" r:id="rId35"/>
    <hyperlink ref="S145" r:id="rId36"/>
    <hyperlink ref="S165" r:id="rId37"/>
    <hyperlink ref="S173" r:id="rId38"/>
    <hyperlink ref="S182" r:id="rId39"/>
    <hyperlink ref="S190" r:id="rId40"/>
    <hyperlink ref="S203" r:id="rId41"/>
    <hyperlink ref="S208" r:id="rId42"/>
    <hyperlink ref="S212" r:id="rId43"/>
    <hyperlink ref="S27" r:id="rId44"/>
    <hyperlink ref="S33" r:id="rId45"/>
    <hyperlink ref="S37" r:id="rId46"/>
    <hyperlink ref="S38" r:id="rId47"/>
    <hyperlink ref="S48" r:id="rId48"/>
    <hyperlink ref="S66" r:id="rId49"/>
    <hyperlink ref="S71" r:id="rId50"/>
    <hyperlink ref="S90" r:id="rId51"/>
    <hyperlink ref="S98" r:id="rId52"/>
    <hyperlink ref="S106" r:id="rId53"/>
    <hyperlink ref="S109" r:id="rId54"/>
    <hyperlink ref="S112" r:id="rId55"/>
    <hyperlink ref="S121" r:id="rId56"/>
    <hyperlink ref="S122" r:id="rId57"/>
    <hyperlink ref="S134" r:id="rId58"/>
    <hyperlink ref="S139" r:id="rId59"/>
    <hyperlink ref="S147" r:id="rId60"/>
    <hyperlink ref="S148" r:id="rId61"/>
    <hyperlink ref="S151" r:id="rId62"/>
    <hyperlink ref="S150" r:id="rId63"/>
    <hyperlink ref="S154" r:id="rId64"/>
    <hyperlink ref="S159" r:id="rId65"/>
    <hyperlink ref="S168" r:id="rId66"/>
    <hyperlink ref="S169" r:id="rId67"/>
    <hyperlink ref="S184" r:id="rId68"/>
    <hyperlink ref="S192" r:id="rId69"/>
    <hyperlink ref="S197" r:id="rId70"/>
    <hyperlink ref="S199" r:id="rId71"/>
    <hyperlink ref="S200" r:id="rId72"/>
  </hyperlinks>
  <pageMargins left="0.7" right="0.7" top="0.75" bottom="0.75" header="0.3" footer="0.3"/>
  <pageSetup scale="34" fitToHeight="0" orientation="portrait" horizontalDpi="0" verticalDpi="0" r:id="rId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workbookViewId="0">
      <selection activeCell="C3" sqref="C3"/>
    </sheetView>
  </sheetViews>
  <sheetFormatPr defaultRowHeight="14.5" x14ac:dyDescent="0.35"/>
  <cols>
    <col min="1" max="1" width="33.81640625" customWidth="1"/>
    <col min="2" max="2" width="9.81640625" customWidth="1"/>
    <col min="3" max="3" width="10.1796875" customWidth="1"/>
    <col min="5" max="5" width="9.6328125" customWidth="1"/>
    <col min="7" max="7" width="14.453125" customWidth="1"/>
    <col min="8" max="8" width="8.1796875" customWidth="1"/>
    <col min="9" max="9" width="10" customWidth="1"/>
  </cols>
  <sheetData>
    <row r="1" spans="1:11" ht="18.5" x14ac:dyDescent="0.45">
      <c r="A1" s="125" t="s">
        <v>397</v>
      </c>
      <c r="B1" s="126"/>
      <c r="C1" s="126"/>
      <c r="D1" s="126"/>
      <c r="E1" s="126"/>
      <c r="F1" s="17"/>
    </row>
    <row r="2" spans="1:11" ht="29" x14ac:dyDescent="0.35">
      <c r="A2" s="2"/>
      <c r="B2" s="8" t="s">
        <v>50</v>
      </c>
      <c r="C2" s="12" t="s">
        <v>7</v>
      </c>
      <c r="D2" s="8" t="s">
        <v>58</v>
      </c>
      <c r="E2" s="39" t="s">
        <v>57</v>
      </c>
      <c r="F2" s="40" t="s">
        <v>56</v>
      </c>
    </row>
    <row r="3" spans="1:11" x14ac:dyDescent="0.35">
      <c r="A3" s="14" t="s">
        <v>3</v>
      </c>
      <c r="B3" s="59">
        <f>COUNTIF(Data!C$4:C214,"&gt;0")</f>
        <v>189</v>
      </c>
      <c r="C3" s="111">
        <f>+Data!C215</f>
        <v>452163.64</v>
      </c>
      <c r="D3" s="112"/>
      <c r="E3" s="111"/>
      <c r="F3" s="113"/>
    </row>
    <row r="4" spans="1:11" x14ac:dyDescent="0.35">
      <c r="A4" s="14" t="s">
        <v>544</v>
      </c>
      <c r="B4" s="59">
        <f>COUNTIF(Data!F$4:F215,"&gt;0")</f>
        <v>178</v>
      </c>
      <c r="C4" s="111">
        <f>+Data!F215</f>
        <v>381271.55</v>
      </c>
      <c r="D4" s="112"/>
      <c r="E4" s="111">
        <f>+C4-C3</f>
        <v>-70892.090000000026</v>
      </c>
      <c r="F4" s="141">
        <f>+E4/C3</f>
        <v>-0.15678414566903262</v>
      </c>
    </row>
    <row r="5" spans="1:11" x14ac:dyDescent="0.35">
      <c r="A5" s="5" t="s">
        <v>52</v>
      </c>
      <c r="B5" s="18"/>
      <c r="C5" s="31"/>
      <c r="D5" s="7"/>
      <c r="E5" s="31"/>
      <c r="F5" s="6"/>
    </row>
    <row r="6" spans="1:11" x14ac:dyDescent="0.35">
      <c r="A6" s="2" t="s">
        <v>51</v>
      </c>
      <c r="B6" s="18">
        <f>COUNTIF(Data!K$4:K214,"&gt;0")</f>
        <v>95</v>
      </c>
      <c r="C6" s="32">
        <f>+Data!K215</f>
        <v>306703.75</v>
      </c>
      <c r="D6" s="15">
        <f>+C6/C$8</f>
        <v>0.77927897884449859</v>
      </c>
      <c r="E6" s="32"/>
      <c r="F6" s="6"/>
    </row>
    <row r="7" spans="1:11" x14ac:dyDescent="0.35">
      <c r="A7" s="2" t="s">
        <v>55</v>
      </c>
      <c r="B7" s="18">
        <f>COUNTIF(Data!J$4:J214,"&gt;0")</f>
        <v>46</v>
      </c>
      <c r="C7" s="32">
        <f>+Data!J215</f>
        <v>86870</v>
      </c>
      <c r="D7" s="15">
        <f>+C7/C$8</f>
        <v>0.22072102115550135</v>
      </c>
      <c r="E7" s="32"/>
      <c r="F7" s="6"/>
    </row>
    <row r="8" spans="1:11" x14ac:dyDescent="0.35">
      <c r="A8" s="14" t="s">
        <v>545</v>
      </c>
      <c r="B8" s="59">
        <f>SUM(B6:B7)</f>
        <v>141</v>
      </c>
      <c r="C8" s="34">
        <f>SUM(C6:C7)</f>
        <v>393573.75</v>
      </c>
      <c r="D8" s="16">
        <f>+C8/C$8</f>
        <v>1</v>
      </c>
      <c r="E8" s="36">
        <f>+C8-C3</f>
        <v>-58589.890000000014</v>
      </c>
      <c r="F8" s="142">
        <f>+E8/C3</f>
        <v>-0.12957673907614511</v>
      </c>
    </row>
    <row r="9" spans="1:11" x14ac:dyDescent="0.35">
      <c r="A9" s="2" t="s">
        <v>53</v>
      </c>
      <c r="B9" s="18">
        <f>COUNTIF(Data!I$4:I214,"&gt;0")</f>
        <v>0</v>
      </c>
      <c r="C9" s="32">
        <f>+Data!I215</f>
        <v>0</v>
      </c>
      <c r="D9" s="7"/>
      <c r="E9" s="32">
        <f>+C9-C8</f>
        <v>-393573.75</v>
      </c>
      <c r="F9" s="45">
        <f>ROUND((+C9/C8),3)</f>
        <v>0</v>
      </c>
    </row>
    <row r="10" spans="1:11" x14ac:dyDescent="0.35">
      <c r="A10" s="5" t="s">
        <v>546</v>
      </c>
      <c r="B10" s="18"/>
      <c r="C10" s="32"/>
      <c r="D10" s="3"/>
      <c r="E10" s="32"/>
      <c r="F10" s="6"/>
    </row>
    <row r="11" spans="1:11" x14ac:dyDescent="0.35">
      <c r="A11" s="2" t="s">
        <v>51</v>
      </c>
      <c r="B11" s="60">
        <f>COUNTIF(Data!O$4:O214,"&gt;0")</f>
        <v>72</v>
      </c>
      <c r="C11" s="32">
        <f>+Data!O215</f>
        <v>257000</v>
      </c>
      <c r="D11" s="15">
        <f>+C11/C$13</f>
        <v>0.99961104628549202</v>
      </c>
      <c r="E11" s="32"/>
      <c r="F11" s="6"/>
      <c r="G11" s="76"/>
      <c r="H11" s="76"/>
      <c r="I11" s="76"/>
    </row>
    <row r="12" spans="1:11" x14ac:dyDescent="0.35">
      <c r="A12" s="2" t="s">
        <v>526</v>
      </c>
      <c r="B12" s="60">
        <f>COUNTIF(Data!N8:N214,"&gt;0")</f>
        <v>1</v>
      </c>
      <c r="C12" s="32">
        <f>+Data!N215</f>
        <v>100</v>
      </c>
      <c r="D12" s="15">
        <f>+C12/C$13</f>
        <v>3.8895371450797355E-4</v>
      </c>
      <c r="E12" s="32"/>
      <c r="F12" s="6"/>
    </row>
    <row r="13" spans="1:11" ht="15" thickBot="1" x14ac:dyDescent="0.4">
      <c r="A13" s="9" t="s">
        <v>54</v>
      </c>
      <c r="B13" s="61">
        <f>SUM(B11:B12)</f>
        <v>73</v>
      </c>
      <c r="C13" s="35">
        <f>SUM(C11:C12)</f>
        <v>257100</v>
      </c>
      <c r="D13" s="20">
        <f>+C13/C$8</f>
        <v>0.65324478576124556</v>
      </c>
      <c r="E13" s="35">
        <f>+C13-C8</f>
        <v>-136473.75</v>
      </c>
      <c r="F13" s="21">
        <f>+E13/C8</f>
        <v>-0.34675521423875449</v>
      </c>
    </row>
    <row r="14" spans="1:11" ht="15" thickBot="1" x14ac:dyDescent="0.4"/>
    <row r="15" spans="1:11" ht="18.5" x14ac:dyDescent="0.45">
      <c r="A15" s="125" t="s">
        <v>59</v>
      </c>
      <c r="B15" s="126"/>
      <c r="C15" s="126"/>
      <c r="D15" s="126"/>
      <c r="E15" s="126"/>
      <c r="F15" s="126"/>
      <c r="G15" s="126"/>
      <c r="H15" s="126"/>
      <c r="I15" s="126"/>
      <c r="J15" s="127"/>
    </row>
    <row r="16" spans="1:11" x14ac:dyDescent="0.35">
      <c r="A16" s="2"/>
      <c r="B16" s="12">
        <v>2021</v>
      </c>
      <c r="C16" s="12">
        <v>2022</v>
      </c>
      <c r="D16" s="12">
        <v>2022</v>
      </c>
      <c r="E16" s="12">
        <v>2023</v>
      </c>
      <c r="F16" s="12">
        <f>+E16</f>
        <v>2023</v>
      </c>
      <c r="G16" s="39" t="s">
        <v>532</v>
      </c>
      <c r="H16" s="3"/>
      <c r="I16" s="3"/>
      <c r="J16" s="3"/>
      <c r="K16" s="6"/>
    </row>
    <row r="17" spans="1:11" x14ac:dyDescent="0.35">
      <c r="A17" s="2" t="s">
        <v>64</v>
      </c>
      <c r="B17" s="58">
        <v>32</v>
      </c>
      <c r="C17" s="58">
        <v>32</v>
      </c>
      <c r="D17" s="58">
        <v>38</v>
      </c>
      <c r="E17" s="18">
        <f>COUNTIF(Data!Q$4:Q214,"S")</f>
        <v>20</v>
      </c>
      <c r="F17" s="62">
        <f>SUMIF(Data!Q$4:Q214,"S",Data!O$4:O214)</f>
        <v>116840</v>
      </c>
      <c r="G17" s="109">
        <f>+F17/F$22</f>
        <v>0.45445352003111628</v>
      </c>
      <c r="H17" s="3" t="s">
        <v>61</v>
      </c>
      <c r="I17" s="3"/>
      <c r="J17" s="3"/>
      <c r="K17" s="6"/>
    </row>
    <row r="18" spans="1:11" x14ac:dyDescent="0.35">
      <c r="A18" s="2" t="s">
        <v>65</v>
      </c>
      <c r="B18" s="58">
        <v>52</v>
      </c>
      <c r="C18" s="58">
        <v>52</v>
      </c>
      <c r="D18" s="58">
        <v>37</v>
      </c>
      <c r="E18" s="18">
        <f>COUNTIF(Data!Q$4:Q214,"I")</f>
        <v>22</v>
      </c>
      <c r="F18" s="62">
        <f>SUMIF(Data!Q$4:Q214,"I",Data!O$4:O214)</f>
        <v>57820</v>
      </c>
      <c r="G18" s="109">
        <f>+F18/F$22</f>
        <v>0.2248930377285103</v>
      </c>
      <c r="H18" s="3" t="str">
        <f>+"Increased pledge from 2022 (increase = $"&amp;ROUND(SUMIF(Data!Q$4:Q214,"I",Data!P$4:P214),0)&amp;")"</f>
        <v>Increased pledge from 2022 (increase = $6774)</v>
      </c>
      <c r="I18" s="3"/>
      <c r="J18" s="3"/>
      <c r="K18" s="6"/>
    </row>
    <row r="19" spans="1:11" x14ac:dyDescent="0.35">
      <c r="A19" s="2" t="s">
        <v>66</v>
      </c>
      <c r="B19" s="58">
        <v>10</v>
      </c>
      <c r="C19" s="58">
        <v>0</v>
      </c>
      <c r="D19" s="58">
        <v>12</v>
      </c>
      <c r="E19" s="18">
        <f>COUNTIF(Data!Q$4:Q214,"N")</f>
        <v>16</v>
      </c>
      <c r="F19" s="62">
        <f>SUMIF(Data!Q$4:Q214,"N",Data!O$4:O214)</f>
        <v>44880</v>
      </c>
      <c r="G19" s="109">
        <f>+F19/F$22</f>
        <v>0.17456242707117853</v>
      </c>
      <c r="H19" s="3" t="s">
        <v>60</v>
      </c>
      <c r="I19" s="3"/>
      <c r="J19" s="3"/>
      <c r="K19" s="6"/>
    </row>
    <row r="20" spans="1:11" x14ac:dyDescent="0.35">
      <c r="A20" s="2" t="s">
        <v>67</v>
      </c>
      <c r="B20" s="58">
        <v>2</v>
      </c>
      <c r="C20" s="58">
        <v>2</v>
      </c>
      <c r="D20" s="58">
        <v>16</v>
      </c>
      <c r="E20" s="18">
        <f>COUNTIF(Data!Q$4:Q214,"D")</f>
        <v>53</v>
      </c>
      <c r="F20" s="62">
        <f>SUMIF(Data!Q$4:Q214,"D",Data!O$4:O214)</f>
        <v>37460</v>
      </c>
      <c r="G20" s="109">
        <f>+F20/F$22</f>
        <v>0.14570206145468689</v>
      </c>
      <c r="H20" s="3" t="str">
        <f>+"Decreased pledge from 2022 (decrease = $"&amp;ABS(ROUND(SUMIF(Data!Q$4:Q214,"D",Data!P$4:P214),0))&amp;")"</f>
        <v>Decreased pledge from 2022 (decrease = $101358)</v>
      </c>
      <c r="I20" s="3"/>
      <c r="J20" s="3"/>
      <c r="K20" s="6"/>
    </row>
    <row r="21" spans="1:11" x14ac:dyDescent="0.35">
      <c r="A21" s="2" t="s">
        <v>528</v>
      </c>
      <c r="B21" s="63" t="s">
        <v>63</v>
      </c>
      <c r="C21" s="63">
        <v>18</v>
      </c>
      <c r="D21" s="63">
        <v>46</v>
      </c>
      <c r="E21" s="60">
        <f>COUNTIF(Data!Q$4:Q214,"X")+COUNTIF(Data!Q$4:Q214,"E")</f>
        <v>1</v>
      </c>
      <c r="F21" s="62">
        <f>SUMIF(Data!Q$4:Q214,"X",Data!N$4:N214)+SUMIF(Data!Q$4:Q214,"E",Data!N$4:N214)</f>
        <v>100</v>
      </c>
      <c r="G21" s="109">
        <f>+F21/F$22</f>
        <v>3.8895371450797355E-4</v>
      </c>
      <c r="H21" s="3"/>
      <c r="I21" s="3"/>
      <c r="J21" s="3"/>
      <c r="K21" s="6"/>
    </row>
    <row r="22" spans="1:11" ht="15" thickBot="1" x14ac:dyDescent="0.4">
      <c r="A22" s="9" t="s">
        <v>62</v>
      </c>
      <c r="B22" s="64">
        <f>SUM(B17:B21)</f>
        <v>96</v>
      </c>
      <c r="C22" s="64">
        <f>SUM(C17:C21)</f>
        <v>104</v>
      </c>
      <c r="D22" s="64">
        <f>SUM(D17:D21)</f>
        <v>149</v>
      </c>
      <c r="E22" s="64">
        <f>SUM(E17:E21)</f>
        <v>112</v>
      </c>
      <c r="F22" s="65">
        <f>SUM(F17:F21)</f>
        <v>257100</v>
      </c>
      <c r="G22" s="110">
        <f>SUM(G17:G21)</f>
        <v>1</v>
      </c>
      <c r="H22" s="29"/>
      <c r="I22" s="29"/>
      <c r="J22" s="29"/>
      <c r="K22" s="30"/>
    </row>
    <row r="23" spans="1:11" ht="15" thickBot="1" x14ac:dyDescent="0.4">
      <c r="D23" t="str">
        <f>IF(ROWS(Data!Q4:Q214)-COUNTBLANK(Data!Q4:Q214)-Summary!E22=0,"","ERROR")</f>
        <v/>
      </c>
      <c r="E23" s="1" t="str">
        <f>IF(+Data!O215++Data!N215-Summary!F22=0,"","ERROR")</f>
        <v/>
      </c>
    </row>
    <row r="24" spans="1:11" ht="19" thickBot="1" x14ac:dyDescent="0.5">
      <c r="A24" s="136" t="s">
        <v>527</v>
      </c>
      <c r="B24" s="137"/>
      <c r="C24" s="137"/>
      <c r="D24" s="137"/>
      <c r="E24" s="137"/>
      <c r="F24" s="138"/>
      <c r="G24" s="1"/>
    </row>
    <row r="25" spans="1:11" ht="29" x14ac:dyDescent="0.35">
      <c r="A25" s="2"/>
      <c r="B25" s="8" t="s">
        <v>50</v>
      </c>
      <c r="C25" s="12" t="s">
        <v>7</v>
      </c>
      <c r="D25" s="8" t="s">
        <v>58</v>
      </c>
      <c r="E25" s="18" t="s">
        <v>57</v>
      </c>
      <c r="F25" s="19" t="s">
        <v>56</v>
      </c>
    </row>
    <row r="26" spans="1:11" x14ac:dyDescent="0.35">
      <c r="A26" s="49" t="str">
        <f>+A8</f>
        <v>Total 2023 Budget</v>
      </c>
      <c r="B26" s="66"/>
      <c r="C26" s="50">
        <f>+C8</f>
        <v>393573.75</v>
      </c>
      <c r="D26" s="51"/>
      <c r="E26" s="52"/>
      <c r="F26" s="53"/>
    </row>
    <row r="27" spans="1:11" x14ac:dyDescent="0.35">
      <c r="A27" s="44" t="s">
        <v>404</v>
      </c>
      <c r="B27" s="67"/>
      <c r="C27" s="46">
        <f>+C26-C29-C30-C31</f>
        <v>291329.75</v>
      </c>
      <c r="D27" s="41"/>
      <c r="E27" s="42"/>
      <c r="F27" s="43"/>
    </row>
    <row r="28" spans="1:11" x14ac:dyDescent="0.35">
      <c r="A28" s="54" t="s">
        <v>403</v>
      </c>
      <c r="B28" s="68">
        <f>+B9</f>
        <v>0</v>
      </c>
      <c r="C28" s="55">
        <f>+C9</f>
        <v>0</v>
      </c>
      <c r="D28" s="56"/>
      <c r="E28" s="55">
        <f>+C28-C27</f>
        <v>-291329.75</v>
      </c>
      <c r="F28" s="57">
        <f>+E28/C27</f>
        <v>-1</v>
      </c>
    </row>
    <row r="29" spans="1:11" x14ac:dyDescent="0.35">
      <c r="A29" s="2" t="s">
        <v>398</v>
      </c>
      <c r="B29" s="18"/>
      <c r="C29" s="33">
        <v>24255</v>
      </c>
      <c r="D29" s="3"/>
      <c r="E29" s="3"/>
      <c r="F29" s="6"/>
    </row>
    <row r="30" spans="1:11" x14ac:dyDescent="0.35">
      <c r="A30" s="2" t="s">
        <v>399</v>
      </c>
      <c r="B30" s="18"/>
      <c r="C30" s="33">
        <v>23344</v>
      </c>
      <c r="D30" s="3"/>
      <c r="E30" s="3"/>
      <c r="F30" s="6"/>
    </row>
    <row r="31" spans="1:11" x14ac:dyDescent="0.35">
      <c r="A31" s="2" t="s">
        <v>400</v>
      </c>
      <c r="B31" s="18"/>
      <c r="C31" s="33">
        <v>54645</v>
      </c>
      <c r="D31" s="3"/>
      <c r="E31" s="3"/>
      <c r="F31" s="6"/>
    </row>
    <row r="32" spans="1:11" ht="15" thickBot="1" x14ac:dyDescent="0.4">
      <c r="A32" s="9" t="s">
        <v>401</v>
      </c>
      <c r="B32" s="64"/>
      <c r="C32" s="37">
        <f>+SUM(C28:C31)</f>
        <v>102244</v>
      </c>
      <c r="D32" s="29"/>
      <c r="E32" s="37">
        <f>+C32-C26</f>
        <v>-291329.75</v>
      </c>
      <c r="F32" s="48">
        <f>+E32/C26</f>
        <v>-0.74021641433149443</v>
      </c>
    </row>
  </sheetData>
  <mergeCells count="3">
    <mergeCell ref="A1:E1"/>
    <mergeCell ref="A24:F24"/>
    <mergeCell ref="A15:J15"/>
  </mergeCells>
  <pageMargins left="0.7" right="0.7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B10" sqref="B10"/>
    </sheetView>
  </sheetViews>
  <sheetFormatPr defaultRowHeight="14.5" x14ac:dyDescent="0.35"/>
  <cols>
    <col min="1" max="1" width="10.81640625" customWidth="1"/>
  </cols>
  <sheetData>
    <row r="2" spans="1:2" x14ac:dyDescent="0.35">
      <c r="A2" t="s">
        <v>402</v>
      </c>
      <c r="B2" s="47">
        <v>9</v>
      </c>
    </row>
    <row r="3" spans="1:2" x14ac:dyDescent="0.35">
      <c r="A3" s="38" t="s">
        <v>48</v>
      </c>
      <c r="B3">
        <f>+B2/12</f>
        <v>0.75</v>
      </c>
    </row>
    <row r="4" spans="1:2" x14ac:dyDescent="0.35">
      <c r="A4" s="38" t="s">
        <v>46</v>
      </c>
      <c r="B4">
        <f>+B2/12</f>
        <v>0.75</v>
      </c>
    </row>
    <row r="5" spans="1:2" x14ac:dyDescent="0.35">
      <c r="A5" s="38" t="s">
        <v>45</v>
      </c>
      <c r="B5">
        <f>+(13+13+13)/52</f>
        <v>0.75</v>
      </c>
    </row>
    <row r="8" spans="1:2" x14ac:dyDescent="0.35">
      <c r="B8">
        <v>2023</v>
      </c>
    </row>
    <row r="9" spans="1:2" x14ac:dyDescent="0.35">
      <c r="A9" t="s">
        <v>516</v>
      </c>
      <c r="B9" s="47">
        <v>52</v>
      </c>
    </row>
    <row r="10" spans="1:2" x14ac:dyDescent="0.35">
      <c r="A10" t="s">
        <v>517</v>
      </c>
      <c r="B10" s="47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2022-11-21T19:18:47Z</cp:lastPrinted>
  <dcterms:created xsi:type="dcterms:W3CDTF">2022-09-28T19:27:14Z</dcterms:created>
  <dcterms:modified xsi:type="dcterms:W3CDTF">2023-10-26T01:00:07Z</dcterms:modified>
</cp:coreProperties>
</file>